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S:\International\COMMFILE inc Int files by country\EU REGULATORY\14 TAX AFFAIRS STANDING COMM\2015 (up to end)\TAXRATES\"/>
    </mc:Choice>
  </mc:AlternateContent>
  <xr:revisionPtr revIDLastSave="0" documentId="13_ncr:1_{4A2F51E5-C620-42C8-8DE1-4AA49C662F16}" xr6:coauthVersionLast="46" xr6:coauthVersionMax="46" xr10:uidLastSave="{00000000-0000-0000-0000-000000000000}"/>
  <bookViews>
    <workbookView xWindow="-96" yWindow="-96" windowWidth="23232" windowHeight="12552" tabRatio="776" firstSheet="1" activeTab="3" xr2:uid="{00000000-000D-0000-FFFF-FFFF00000000}"/>
  </bookViews>
  <sheets>
    <sheet name="EU Member States" sheetId="1" r:id="rId1"/>
    <sheet name="EEA+EFTA &amp; Accession Cand. &amp;UK" sheetId="2" r:id="rId2"/>
    <sheet name="Details of rate changes" sheetId="14" r:id="rId3"/>
    <sheet name="Explanatory Notes" sheetId="11" r:id="rId4"/>
    <sheet name="Changes since previous edition" sheetId="12" r:id="rId5"/>
  </sheets>
  <definedNames>
    <definedName name="_xlnm._FilterDatabase" localSheetId="2" hidden="1">'Details of rate changes'!$A$6:$O$45</definedName>
    <definedName name="_xlnm.Print_Area" localSheetId="4">'Changes since previous edition'!$A$1:$A$22</definedName>
    <definedName name="_xlnm.Print_Area" localSheetId="2">'Details of rate changes'!$A$1:$O$51</definedName>
    <definedName name="_xlnm.Print_Area" localSheetId="0">'EU Member States'!$A$1:$AC$53</definedName>
    <definedName name="_xlnm.Print_Area" localSheetId="3">'Explanatory Notes'!$A$1:$B$122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14" l="1"/>
  <c r="K38" i="14"/>
  <c r="H38" i="14"/>
  <c r="E38" i="14"/>
  <c r="B36" i="2"/>
  <c r="B26" i="2"/>
  <c r="B28" i="2" s="1"/>
  <c r="E17" i="14"/>
  <c r="C17" i="14"/>
  <c r="O48" i="14"/>
  <c r="L48" i="14"/>
  <c r="I48" i="14"/>
  <c r="F48" i="14"/>
  <c r="C48" i="14"/>
  <c r="L13" i="2"/>
  <c r="L18" i="2"/>
  <c r="L21" i="2" s="1"/>
  <c r="L28" i="2"/>
  <c r="L31" i="2" s="1"/>
  <c r="L36" i="2"/>
  <c r="L41" i="2"/>
  <c r="Y36" i="1"/>
  <c r="Y13" i="1"/>
  <c r="E31" i="14"/>
  <c r="H31" i="14"/>
  <c r="N31" i="14"/>
  <c r="N39" i="14"/>
  <c r="K39" i="14"/>
  <c r="H39" i="14"/>
  <c r="E39" i="14"/>
  <c r="C11" i="2"/>
  <c r="C13" i="2" s="1"/>
  <c r="C18" i="2"/>
  <c r="C21" i="2" s="1"/>
  <c r="C28" i="2"/>
  <c r="C26" i="2" s="1"/>
  <c r="C38" i="2"/>
  <c r="J36" i="1"/>
  <c r="N17" i="14"/>
  <c r="K17" i="14"/>
  <c r="I13" i="14"/>
  <c r="H17" i="14"/>
  <c r="J41" i="1"/>
  <c r="L23" i="2" l="1"/>
  <c r="L43" i="2"/>
  <c r="L33" i="2"/>
  <c r="C16" i="2"/>
  <c r="K36" i="1"/>
  <c r="N18" i="14"/>
  <c r="K18" i="14"/>
  <c r="H18" i="14"/>
  <c r="E18" i="14"/>
  <c r="C18" i="14"/>
  <c r="K41" i="1"/>
  <c r="K21" i="1"/>
  <c r="K23" i="1"/>
  <c r="H13" i="1"/>
  <c r="N45" i="14"/>
  <c r="K45" i="14"/>
  <c r="H45" i="14"/>
  <c r="E45" i="14"/>
  <c r="J28" i="2"/>
  <c r="J31" i="2" s="1"/>
  <c r="J36" i="2"/>
  <c r="J18" i="2"/>
  <c r="J21" i="2" s="1"/>
  <c r="J13" i="2"/>
  <c r="C45" i="14" s="1"/>
  <c r="N44" i="14"/>
  <c r="E44" i="14"/>
  <c r="I36" i="2"/>
  <c r="I11" i="2"/>
  <c r="I13" i="2" s="1"/>
  <c r="O22" i="14" l="1"/>
  <c r="J41" i="2"/>
  <c r="L45" i="14" s="1"/>
  <c r="O45" i="14"/>
  <c r="N24" i="14" l="1"/>
  <c r="R36" i="1"/>
  <c r="R41" i="1" s="1"/>
  <c r="K24" i="14"/>
  <c r="R21" i="1"/>
  <c r="F24" i="14" s="1"/>
  <c r="H24" i="14"/>
  <c r="E12" i="14" l="1"/>
  <c r="E25" i="14"/>
  <c r="C25" i="14" l="1"/>
  <c r="C24" i="14"/>
  <c r="E24" i="14" s="1"/>
  <c r="E29" i="14" l="1"/>
  <c r="W28" i="1" l="1"/>
  <c r="H29" i="14" l="1"/>
  <c r="W18" i="1"/>
  <c r="H27" i="14"/>
  <c r="K29" i="14"/>
  <c r="W31" i="1"/>
  <c r="N29" i="14"/>
  <c r="W36" i="1"/>
  <c r="W38" i="1" s="1"/>
  <c r="Y38" i="1"/>
  <c r="W13" i="1"/>
  <c r="C29" i="14" s="1"/>
  <c r="B16" i="2" l="1"/>
  <c r="B13" i="2"/>
  <c r="C38" i="14" s="1"/>
  <c r="K31" i="1"/>
  <c r="E22" i="14"/>
  <c r="G13" i="1"/>
  <c r="C14" i="14" s="1"/>
  <c r="E14" i="14"/>
  <c r="C16" i="14" l="1"/>
  <c r="E16" i="14" s="1"/>
  <c r="F45" i="14"/>
  <c r="I36" i="1"/>
  <c r="I41" i="1"/>
  <c r="L16" i="14" s="1"/>
  <c r="N16" i="14" s="1"/>
  <c r="G16" i="2"/>
  <c r="I21" i="1"/>
  <c r="F16" i="14" s="1"/>
  <c r="R23" i="1"/>
  <c r="B31" i="2"/>
  <c r="B33" i="2" s="1"/>
  <c r="D13" i="2"/>
  <c r="D38" i="2"/>
  <c r="D41" i="2" s="1"/>
  <c r="L40" i="14" s="1"/>
  <c r="C31" i="14"/>
  <c r="K48" i="14"/>
  <c r="H48" i="14"/>
  <c r="N15" i="14"/>
  <c r="K15" i="14"/>
  <c r="H15" i="14"/>
  <c r="T36" i="1"/>
  <c r="L36" i="1"/>
  <c r="L41" i="1" s="1"/>
  <c r="G36" i="1"/>
  <c r="E43" i="14"/>
  <c r="M26" i="1"/>
  <c r="E27" i="14"/>
  <c r="K16" i="14"/>
  <c r="H16" i="14"/>
  <c r="N30" i="14"/>
  <c r="H30" i="14"/>
  <c r="E30" i="14"/>
  <c r="N25" i="14"/>
  <c r="K25" i="14"/>
  <c r="H25" i="14"/>
  <c r="S36" i="1"/>
  <c r="S41" i="1" s="1"/>
  <c r="N48" i="14"/>
  <c r="E48" i="14"/>
  <c r="N23" i="14"/>
  <c r="Q36" i="1"/>
  <c r="Q41" i="1" s="1"/>
  <c r="N35" i="14"/>
  <c r="K35" i="14"/>
  <c r="H35" i="14"/>
  <c r="E35" i="14"/>
  <c r="AC36" i="1"/>
  <c r="AC38" i="1" s="1"/>
  <c r="AC41" i="1" s="1"/>
  <c r="L35" i="14" s="1"/>
  <c r="H34" i="14"/>
  <c r="E34" i="14"/>
  <c r="K28" i="14"/>
  <c r="H28" i="14"/>
  <c r="N20" i="14"/>
  <c r="M36" i="1"/>
  <c r="N10" i="14"/>
  <c r="K10" i="14"/>
  <c r="H10" i="14"/>
  <c r="E10" i="14"/>
  <c r="C36" i="1"/>
  <c r="C41" i="1" s="1"/>
  <c r="C43" i="1" s="1"/>
  <c r="C26" i="1"/>
  <c r="C16" i="1"/>
  <c r="C13" i="1"/>
  <c r="C23" i="1" s="1"/>
  <c r="N27" i="14"/>
  <c r="K27" i="14"/>
  <c r="U36" i="1"/>
  <c r="L18" i="14"/>
  <c r="C44" i="14"/>
  <c r="S31" i="1"/>
  <c r="R31" i="1"/>
  <c r="I24" i="14" s="1"/>
  <c r="F21" i="1"/>
  <c r="F13" i="14" s="1"/>
  <c r="S21" i="1"/>
  <c r="N41" i="14"/>
  <c r="K41" i="14"/>
  <c r="H41" i="14"/>
  <c r="I43" i="14"/>
  <c r="E41" i="14"/>
  <c r="O41" i="14"/>
  <c r="F18" i="2"/>
  <c r="F21" i="2" s="1"/>
  <c r="F41" i="14" s="1"/>
  <c r="F41" i="2"/>
  <c r="L41" i="14" s="1"/>
  <c r="F36" i="2"/>
  <c r="F28" i="2"/>
  <c r="F31" i="2" s="1"/>
  <c r="I41" i="14" s="1"/>
  <c r="F13" i="2"/>
  <c r="C21" i="1"/>
  <c r="F10" i="14" s="1"/>
  <c r="C31" i="1"/>
  <c r="Y18" i="1"/>
  <c r="Y21" i="1"/>
  <c r="F31" i="14" s="1"/>
  <c r="Y41" i="1"/>
  <c r="L31" i="14" s="1"/>
  <c r="W21" i="1"/>
  <c r="F29" i="14" s="1"/>
  <c r="B36" i="1"/>
  <c r="B41" i="1"/>
  <c r="L9" i="14" s="1"/>
  <c r="N9" i="14"/>
  <c r="E23" i="14"/>
  <c r="H23" i="14"/>
  <c r="U31" i="1"/>
  <c r="U33" i="1" s="1"/>
  <c r="H9" i="14"/>
  <c r="N28" i="1"/>
  <c r="N31" i="1" s="1"/>
  <c r="I21" i="14" s="1"/>
  <c r="G28" i="1"/>
  <c r="G31" i="1" s="1"/>
  <c r="I14" i="14" s="1"/>
  <c r="N33" i="14"/>
  <c r="H33" i="14"/>
  <c r="E33" i="14"/>
  <c r="AA41" i="1"/>
  <c r="L33" i="14" s="1"/>
  <c r="AA21" i="1"/>
  <c r="AA23" i="1" s="1"/>
  <c r="H28" i="2"/>
  <c r="B38" i="2"/>
  <c r="B41" i="2" s="1"/>
  <c r="R43" i="1"/>
  <c r="AC13" i="1"/>
  <c r="C35" i="14" s="1"/>
  <c r="E9" i="14"/>
  <c r="O26" i="14"/>
  <c r="O30" i="14"/>
  <c r="E28" i="14"/>
  <c r="D18" i="1"/>
  <c r="G18" i="1"/>
  <c r="G21" i="1" s="1"/>
  <c r="F14" i="14" s="1"/>
  <c r="E18" i="1"/>
  <c r="E21" i="1" s="1"/>
  <c r="F12" i="14" s="1"/>
  <c r="N18" i="1"/>
  <c r="N21" i="1" s="1"/>
  <c r="O35" i="14"/>
  <c r="O34" i="14"/>
  <c r="O33" i="14"/>
  <c r="O32" i="14"/>
  <c r="O31" i="14"/>
  <c r="O29" i="14"/>
  <c r="O28" i="14"/>
  <c r="O27" i="14"/>
  <c r="O25" i="14"/>
  <c r="O24" i="14"/>
  <c r="O23" i="14"/>
  <c r="O21" i="14"/>
  <c r="O20" i="14"/>
  <c r="O18" i="14"/>
  <c r="O17" i="14"/>
  <c r="O16" i="14"/>
  <c r="O15" i="14"/>
  <c r="O14" i="14"/>
  <c r="O13" i="14"/>
  <c r="O12" i="14"/>
  <c r="O11" i="14"/>
  <c r="O10" i="14"/>
  <c r="O9" i="14"/>
  <c r="N11" i="14"/>
  <c r="H40" i="14"/>
  <c r="E40" i="14"/>
  <c r="N40" i="14"/>
  <c r="N42" i="14"/>
  <c r="H42" i="14"/>
  <c r="E42" i="14"/>
  <c r="G13" i="2"/>
  <c r="N34" i="14"/>
  <c r="N32" i="14"/>
  <c r="N28" i="14"/>
  <c r="N22" i="14"/>
  <c r="N21" i="14"/>
  <c r="N14" i="14"/>
  <c r="N13" i="14"/>
  <c r="K22" i="14"/>
  <c r="H32" i="14"/>
  <c r="H22" i="14"/>
  <c r="H21" i="14"/>
  <c r="H20" i="14"/>
  <c r="H19" i="14"/>
  <c r="H13" i="14"/>
  <c r="H11" i="14"/>
  <c r="E11" i="14"/>
  <c r="C36" i="2"/>
  <c r="O44" i="14"/>
  <c r="O43" i="14"/>
  <c r="O42" i="14"/>
  <c r="O40" i="14"/>
  <c r="O39" i="14"/>
  <c r="O38" i="14"/>
  <c r="C43" i="14"/>
  <c r="C34" i="14"/>
  <c r="I33" i="14"/>
  <c r="C33" i="14"/>
  <c r="I32" i="14"/>
  <c r="F32" i="14"/>
  <c r="C32" i="14"/>
  <c r="I31" i="14"/>
  <c r="C30" i="14"/>
  <c r="C28" i="14"/>
  <c r="C27" i="14"/>
  <c r="C26" i="14"/>
  <c r="C23" i="14"/>
  <c r="L22" i="14"/>
  <c r="C22" i="14"/>
  <c r="C20" i="14"/>
  <c r="C19" i="14"/>
  <c r="L13" i="14"/>
  <c r="C13" i="14"/>
  <c r="L11" i="14"/>
  <c r="I11" i="14"/>
  <c r="F11" i="14"/>
  <c r="C9" i="14"/>
  <c r="E32" i="14"/>
  <c r="E26" i="14"/>
  <c r="E21" i="14"/>
  <c r="E20" i="14"/>
  <c r="E19" i="14"/>
  <c r="E15" i="14"/>
  <c r="E13" i="14"/>
  <c r="I31" i="1"/>
  <c r="I16" i="14" s="1"/>
  <c r="O36" i="1"/>
  <c r="G41" i="2"/>
  <c r="L42" i="14" s="1"/>
  <c r="G36" i="2"/>
  <c r="F25" i="14"/>
  <c r="V21" i="1"/>
  <c r="F28" i="14" s="1"/>
  <c r="U21" i="1"/>
  <c r="U23" i="1" s="1"/>
  <c r="D13" i="1"/>
  <c r="D23" i="1" s="1"/>
  <c r="O43" i="1"/>
  <c r="F43" i="1"/>
  <c r="F23" i="1"/>
  <c r="Z23" i="1"/>
  <c r="J31" i="1"/>
  <c r="I17" i="14" s="1"/>
  <c r="B43" i="1"/>
  <c r="Q31" i="1"/>
  <c r="I23" i="14" s="1"/>
  <c r="Q21" i="1"/>
  <c r="Q23" i="1" s="1"/>
  <c r="E38" i="1"/>
  <c r="E41" i="1" s="1"/>
  <c r="L12" i="14" s="1"/>
  <c r="E28" i="1"/>
  <c r="E31" i="1" s="1"/>
  <c r="I12" i="14" s="1"/>
  <c r="E13" i="1"/>
  <c r="C12" i="14" s="1"/>
  <c r="H41" i="2"/>
  <c r="L43" i="14" s="1"/>
  <c r="I38" i="2"/>
  <c r="I41" i="2" s="1"/>
  <c r="H38" i="2"/>
  <c r="I28" i="2"/>
  <c r="I31" i="2" s="1"/>
  <c r="I44" i="14" s="1"/>
  <c r="G28" i="2"/>
  <c r="G31" i="2" s="1"/>
  <c r="I42" i="14" s="1"/>
  <c r="H21" i="2"/>
  <c r="F43" i="14" s="1"/>
  <c r="I18" i="2"/>
  <c r="I21" i="2" s="1"/>
  <c r="F44" i="14" s="1"/>
  <c r="G21" i="2"/>
  <c r="F42" i="14" s="1"/>
  <c r="C41" i="2"/>
  <c r="L39" i="14" s="1"/>
  <c r="D28" i="2"/>
  <c r="D31" i="2" s="1"/>
  <c r="I40" i="14" s="1"/>
  <c r="C31" i="2"/>
  <c r="I39" i="14" s="1"/>
  <c r="B21" i="2"/>
  <c r="F38" i="14" s="1"/>
  <c r="D18" i="2"/>
  <c r="D21" i="2" s="1"/>
  <c r="F40" i="14" s="1"/>
  <c r="F39" i="14"/>
  <c r="AB41" i="1"/>
  <c r="AB43" i="1" s="1"/>
  <c r="Z41" i="1"/>
  <c r="Z43" i="1" s="1"/>
  <c r="X41" i="1"/>
  <c r="L30" i="14" s="1"/>
  <c r="W41" i="1"/>
  <c r="L29" i="14" s="1"/>
  <c r="V41" i="1"/>
  <c r="L28" i="14" s="1"/>
  <c r="U41" i="1"/>
  <c r="U43" i="1" s="1"/>
  <c r="T41" i="1"/>
  <c r="L26" i="14" s="1"/>
  <c r="AB31" i="1"/>
  <c r="I34" i="14" s="1"/>
  <c r="X31" i="1"/>
  <c r="I30" i="14" s="1"/>
  <c r="V31" i="1"/>
  <c r="I28" i="14" s="1"/>
  <c r="T31" i="1"/>
  <c r="I26" i="14"/>
  <c r="I25" i="14"/>
  <c r="AC28" i="1"/>
  <c r="AC31" i="1" s="1"/>
  <c r="I35" i="14" s="1"/>
  <c r="Z28" i="1"/>
  <c r="I29" i="14"/>
  <c r="AB21" i="1"/>
  <c r="F34" i="14" s="1"/>
  <c r="X21" i="1"/>
  <c r="X23" i="1" s="1"/>
  <c r="T21" i="1"/>
  <c r="F26" i="14" s="1"/>
  <c r="AC18" i="1"/>
  <c r="AC21" i="1"/>
  <c r="F35" i="14" s="1"/>
  <c r="M41" i="1"/>
  <c r="L20" i="14" s="1"/>
  <c r="H41" i="1"/>
  <c r="L15" i="14" s="1"/>
  <c r="N38" i="1"/>
  <c r="N41" i="1"/>
  <c r="L21" i="14" s="1"/>
  <c r="G38" i="1"/>
  <c r="G41" i="1" s="1"/>
  <c r="L14" i="14" s="1"/>
  <c r="H36" i="1"/>
  <c r="O31" i="1"/>
  <c r="I22" i="14" s="1"/>
  <c r="M31" i="1"/>
  <c r="I20" i="14" s="1"/>
  <c r="L31" i="1"/>
  <c r="I19" i="14" s="1"/>
  <c r="I18" i="14"/>
  <c r="B31" i="1"/>
  <c r="I9" i="14" s="1"/>
  <c r="H28" i="1"/>
  <c r="H31" i="1"/>
  <c r="I15" i="14" s="1"/>
  <c r="O21" i="1"/>
  <c r="F22" i="14" s="1"/>
  <c r="M21" i="1"/>
  <c r="M23" i="1" s="1"/>
  <c r="L21" i="1"/>
  <c r="L23" i="1" s="1"/>
  <c r="F18" i="14"/>
  <c r="J21" i="1"/>
  <c r="J23" i="1" s="1"/>
  <c r="B21" i="1"/>
  <c r="F9" i="14" s="1"/>
  <c r="H18" i="1"/>
  <c r="H21" i="1" s="1"/>
  <c r="F15" i="14" s="1"/>
  <c r="N13" i="1"/>
  <c r="C21" i="14" s="1"/>
  <c r="C33" i="1"/>
  <c r="I10" i="14"/>
  <c r="S33" i="1"/>
  <c r="S23" i="1"/>
  <c r="R33" i="1"/>
  <c r="K43" i="1"/>
  <c r="I43" i="1"/>
  <c r="F23" i="14"/>
  <c r="H43" i="2"/>
  <c r="M43" i="1"/>
  <c r="L24" i="14"/>
  <c r="F27" i="14"/>
  <c r="V23" i="1"/>
  <c r="H23" i="2" l="1"/>
  <c r="I38" i="14"/>
  <c r="J33" i="1"/>
  <c r="L23" i="14"/>
  <c r="Q43" i="1"/>
  <c r="L43" i="1"/>
  <c r="L19" i="14"/>
  <c r="X43" i="1"/>
  <c r="V33" i="1"/>
  <c r="V43" i="1"/>
  <c r="C10" i="14"/>
  <c r="I33" i="1"/>
  <c r="O23" i="1"/>
  <c r="C11" i="14"/>
  <c r="G43" i="2"/>
  <c r="N23" i="1"/>
  <c r="F21" i="14"/>
  <c r="AA43" i="1"/>
  <c r="L27" i="14"/>
  <c r="F17" i="14"/>
  <c r="AB23" i="1"/>
  <c r="T43" i="1"/>
  <c r="F30" i="14"/>
  <c r="T23" i="1"/>
  <c r="O33" i="1"/>
  <c r="I27" i="14"/>
  <c r="L32" i="14"/>
  <c r="B23" i="1"/>
  <c r="L44" i="14"/>
  <c r="I43" i="2"/>
  <c r="L17" i="14"/>
  <c r="J43" i="1"/>
  <c r="S43" i="1"/>
  <c r="L25" i="14"/>
  <c r="I45" i="14"/>
  <c r="J33" i="2"/>
  <c r="L10" i="14"/>
  <c r="F33" i="14"/>
  <c r="F43" i="2"/>
  <c r="Y43" i="1"/>
  <c r="H23" i="1"/>
  <c r="N43" i="1"/>
  <c r="AC23" i="1"/>
  <c r="I23" i="1"/>
  <c r="F20" i="14"/>
  <c r="F19" i="14"/>
  <c r="G23" i="2"/>
  <c r="L34" i="14"/>
  <c r="C15" i="14"/>
  <c r="J43" i="2"/>
  <c r="J23" i="2"/>
  <c r="C42" i="14"/>
  <c r="D23" i="2"/>
  <c r="B23" i="2"/>
  <c r="Y23" i="1"/>
  <c r="H33" i="1"/>
  <c r="G23" i="1"/>
  <c r="W33" i="1"/>
  <c r="C43" i="2"/>
  <c r="C39" i="14"/>
  <c r="C23" i="2"/>
  <c r="B43" i="2"/>
  <c r="L38" i="14"/>
  <c r="K33" i="1"/>
  <c r="F33" i="2"/>
  <c r="F23" i="2"/>
  <c r="C41" i="14"/>
  <c r="C40" i="14"/>
  <c r="D43" i="2"/>
  <c r="C33" i="2"/>
  <c r="AC43" i="1"/>
  <c r="AC33" i="1"/>
  <c r="W43" i="1"/>
  <c r="W23" i="1"/>
  <c r="H43" i="1"/>
  <c r="G43" i="1"/>
  <c r="D43" i="1"/>
  <c r="E23" i="1"/>
  <c r="E43" i="1"/>
</calcChain>
</file>

<file path=xl/sharedStrings.xml><?xml version="1.0" encoding="utf-8"?>
<sst xmlns="http://schemas.openxmlformats.org/spreadsheetml/2006/main" count="470" uniqueCount="215">
  <si>
    <t>NORWAY (EFTA + EEA Member)</t>
  </si>
  <si>
    <t>SPAIN (&amp; Canary Islands)</t>
  </si>
  <si>
    <t>CYPRUS</t>
  </si>
  <si>
    <t>TURKEY (EU Accession Candidate)</t>
  </si>
  <si>
    <t>CZECH REPUBLIC</t>
  </si>
  <si>
    <t>ESTONIA</t>
  </si>
  <si>
    <t>HUNGARY</t>
  </si>
  <si>
    <t>LATVIA</t>
  </si>
  <si>
    <t>LITHUANIA</t>
  </si>
  <si>
    <t xml:space="preserve">MALTA  </t>
  </si>
  <si>
    <t>POLAND</t>
  </si>
  <si>
    <t>SLOVENIA</t>
  </si>
  <si>
    <t>IRELAND</t>
  </si>
  <si>
    <t>AUS</t>
  </si>
  <si>
    <t>BGM</t>
  </si>
  <si>
    <t>DNM</t>
  </si>
  <si>
    <t>FNL</t>
  </si>
  <si>
    <t>FR</t>
  </si>
  <si>
    <t>GER</t>
  </si>
  <si>
    <t>GRC</t>
  </si>
  <si>
    <t>IRL</t>
  </si>
  <si>
    <t>ITY</t>
  </si>
  <si>
    <t>LUX</t>
  </si>
  <si>
    <t>NL</t>
  </si>
  <si>
    <t>PTG</t>
  </si>
  <si>
    <t>SPN</t>
  </si>
  <si>
    <t>SWN</t>
  </si>
  <si>
    <t>UK</t>
  </si>
  <si>
    <t>A.  EXCISE TAX</t>
  </si>
  <si>
    <t>SPIRITS</t>
  </si>
  <si>
    <t>INTERMEDIATE PRODUCTS</t>
  </si>
  <si>
    <t>LOCAL CURRENCY</t>
  </si>
  <si>
    <t>EQUIVALENT PER HLPA</t>
  </si>
  <si>
    <t>RATIO SPIRITS: INTERMEDIATE</t>
  </si>
  <si>
    <t>STILL WINE</t>
  </si>
  <si>
    <t>RATIO SPIRITS: WINE</t>
  </si>
  <si>
    <t>BEER</t>
  </si>
  <si>
    <t>RATIO SPIRITS: BEER</t>
  </si>
  <si>
    <t>B.  VAT</t>
  </si>
  <si>
    <t>all</t>
  </si>
  <si>
    <t>WINE</t>
  </si>
  <si>
    <t>C.  ADDITIONAL TAXES</t>
  </si>
  <si>
    <t>Yes</t>
  </si>
  <si>
    <t>No</t>
  </si>
  <si>
    <t>ICE</t>
  </si>
  <si>
    <t>NOR</t>
  </si>
  <si>
    <t>SWI</t>
  </si>
  <si>
    <t>(ISK)</t>
  </si>
  <si>
    <t>(NOK)</t>
  </si>
  <si>
    <t>LOCAL CURRENCY PER HLPA</t>
  </si>
  <si>
    <t xml:space="preserve">LOCAL CURRENCY </t>
  </si>
  <si>
    <t>ALL ALCOHOLIC BEVERAGES</t>
  </si>
  <si>
    <t>AUSTRIA</t>
  </si>
  <si>
    <t>BELGIUM</t>
  </si>
  <si>
    <t>DENMARK</t>
  </si>
  <si>
    <t>FINLAND</t>
  </si>
  <si>
    <t>FRANCE</t>
  </si>
  <si>
    <t>GERMANY</t>
  </si>
  <si>
    <t>GREECE</t>
  </si>
  <si>
    <t>ITALY</t>
  </si>
  <si>
    <t>LUXEMBOURG</t>
  </si>
  <si>
    <t>PORTUGAL</t>
  </si>
  <si>
    <t>NETHERLANDS</t>
  </si>
  <si>
    <t>n/a</t>
  </si>
  <si>
    <t>(For details see Explanatory Notes)</t>
  </si>
  <si>
    <t>RATE PER HL AT 18% VOL</t>
  </si>
  <si>
    <t>RATE PER HL AT 5% VOL</t>
  </si>
  <si>
    <t>RATE PER HL AT 11% VOL</t>
  </si>
  <si>
    <t>UNITED KINGDOM</t>
  </si>
  <si>
    <t>CRO</t>
  </si>
  <si>
    <t>(HRK)</t>
  </si>
  <si>
    <t>BUL</t>
  </si>
  <si>
    <t>(BGL)</t>
  </si>
  <si>
    <t>CYP</t>
  </si>
  <si>
    <t>EST</t>
  </si>
  <si>
    <t>HUN</t>
  </si>
  <si>
    <t>(HUF)</t>
  </si>
  <si>
    <t>LVA</t>
  </si>
  <si>
    <t>LITH</t>
  </si>
  <si>
    <t>MTA</t>
  </si>
  <si>
    <t>POL</t>
  </si>
  <si>
    <t>RMA</t>
  </si>
  <si>
    <t>TRK</t>
  </si>
  <si>
    <t>EURO PER HLPA</t>
  </si>
  <si>
    <t>SWITZERLAND (EFTA Member)</t>
  </si>
  <si>
    <t xml:space="preserve">BULGARIA </t>
  </si>
  <si>
    <t xml:space="preserve">RATIO SPIRITS: INTERMEDIATE </t>
  </si>
  <si>
    <t>SWEDEN</t>
  </si>
  <si>
    <t>SLOVAKIA</t>
  </si>
  <si>
    <t>ROMANIA</t>
  </si>
  <si>
    <t>MAC</t>
  </si>
  <si>
    <t>(MKD)</t>
  </si>
  <si>
    <t>MON</t>
  </si>
  <si>
    <t>(EUR)</t>
  </si>
  <si>
    <t>SER</t>
  </si>
  <si>
    <t>(RSD)</t>
  </si>
  <si>
    <t>MACEDONIA (EU Accession Candidate)</t>
  </si>
  <si>
    <t>MONTENEGRO (EU Accession Candidate)</t>
  </si>
  <si>
    <t>SERBIA (EU Accession Candidate)</t>
  </si>
  <si>
    <t>GENERAL</t>
  </si>
  <si>
    <r>
      <rPr>
        <b/>
        <sz val="9"/>
        <color rgb="FFC00000"/>
        <rFont val="Calibri"/>
        <family val="2"/>
        <scheme val="minor"/>
      </rPr>
      <t>EU MEMBER STATES (Page 1/2)</t>
    </r>
    <r>
      <rPr>
        <b/>
        <sz val="10"/>
        <color rgb="FFC00000"/>
        <rFont val="Calibri"/>
        <family val="2"/>
        <scheme val="minor"/>
      </rPr>
      <t xml:space="preserve">
</t>
    </r>
    <r>
      <rPr>
        <b/>
        <sz val="8"/>
        <color rgb="FFC00000"/>
        <rFont val="Calibri"/>
        <family val="2"/>
      </rPr>
      <t>(N.B. further details of actual rates given in separate Explanatory Notes)</t>
    </r>
  </si>
  <si>
    <r>
      <rPr>
        <b/>
        <sz val="9"/>
        <color rgb="FFC00000"/>
        <rFont val="Calibri"/>
        <family val="2"/>
        <scheme val="minor"/>
      </rPr>
      <t>EU MEMBER STATES (Page 2/2)</t>
    </r>
    <r>
      <rPr>
        <b/>
        <sz val="10"/>
        <color rgb="FFC00000"/>
        <rFont val="Calibri"/>
        <family val="2"/>
        <scheme val="minor"/>
      </rPr>
      <t xml:space="preserve">
</t>
    </r>
    <r>
      <rPr>
        <b/>
        <sz val="8"/>
        <color rgb="FFC00000"/>
        <rFont val="Calibri"/>
        <family val="2"/>
      </rPr>
      <t>(N.B. further details of actual rates given in separate Explanatory Notes)</t>
    </r>
  </si>
  <si>
    <r>
      <rPr>
        <b/>
        <sz val="9"/>
        <color rgb="FFC00000"/>
        <rFont val="Calibri"/>
        <family val="2"/>
        <scheme val="minor"/>
      </rPr>
      <t>EEA/EFTA COUNTRIES</t>
    </r>
    <r>
      <rPr>
        <b/>
        <sz val="10"/>
        <color rgb="FFC00000"/>
        <rFont val="Calibri"/>
        <family val="2"/>
        <scheme val="minor"/>
      </rPr>
      <t xml:space="preserve">
</t>
    </r>
    <r>
      <rPr>
        <b/>
        <sz val="8"/>
        <color rgb="FFC00000"/>
        <rFont val="Calibri"/>
        <family val="2"/>
      </rPr>
      <t>(N.B. further details of actual rates given in separate Explanatory Notes)</t>
    </r>
  </si>
  <si>
    <r>
      <rPr>
        <b/>
        <sz val="9"/>
        <color rgb="FFC00000"/>
        <rFont val="Calibri"/>
        <family val="2"/>
        <scheme val="minor"/>
      </rPr>
      <t xml:space="preserve"> EU ACCESSION CANDIDATE  COUNTRIES</t>
    </r>
    <r>
      <rPr>
        <b/>
        <sz val="10"/>
        <color rgb="FFC00000"/>
        <rFont val="Calibri"/>
        <family val="2"/>
        <scheme val="minor"/>
      </rPr>
      <t xml:space="preserve">
</t>
    </r>
    <r>
      <rPr>
        <b/>
        <sz val="8"/>
        <color rgb="FFC00000"/>
        <rFont val="Calibri"/>
        <family val="2"/>
      </rPr>
      <t>(N.B. further details of actual rates given in separate Explanatory Notes)</t>
    </r>
  </si>
  <si>
    <t>SPAIN</t>
  </si>
  <si>
    <t>(DKK)</t>
  </si>
  <si>
    <t>MONTENEGRO</t>
  </si>
  <si>
    <t>(CHF)</t>
  </si>
  <si>
    <t>(CZK)</t>
  </si>
  <si>
    <t>(SEK)</t>
  </si>
  <si>
    <t>(RON)</t>
  </si>
  <si>
    <t>(TRY)</t>
  </si>
  <si>
    <t>(PLN)</t>
  </si>
  <si>
    <t xml:space="preserve">CROATIA </t>
  </si>
  <si>
    <t>CZE</t>
  </si>
  <si>
    <t>(GBP)</t>
  </si>
  <si>
    <t>SKA</t>
  </si>
  <si>
    <t>SNA</t>
  </si>
  <si>
    <t>€ per hlpa</t>
  </si>
  <si>
    <t>Last change</t>
  </si>
  <si>
    <t>% Change</t>
  </si>
  <si>
    <t>€ per hlpa**</t>
  </si>
  <si>
    <t>EU MEMBER STATES</t>
  </si>
  <si>
    <t>BULGARIA*</t>
  </si>
  <si>
    <t>CROATIA*</t>
  </si>
  <si>
    <t>CZECH REPUBLIC*</t>
  </si>
  <si>
    <t>DENMARK*</t>
  </si>
  <si>
    <t>HUNGARY*</t>
  </si>
  <si>
    <t>MALTA</t>
  </si>
  <si>
    <t>POLAND*</t>
  </si>
  <si>
    <t>ROMANIA*</t>
  </si>
  <si>
    <t>SWEDEN*</t>
  </si>
  <si>
    <t>UNITED KINGDOM*</t>
  </si>
  <si>
    <t>EEA+EFTA &amp; ACCESSION CANDIDATES</t>
  </si>
  <si>
    <t>ICELAND*</t>
  </si>
  <si>
    <t>NORWAY*</t>
  </si>
  <si>
    <t>SWITZERLAND*</t>
  </si>
  <si>
    <t>MACEDONIA*</t>
  </si>
  <si>
    <t>SERBIA*</t>
  </si>
  <si>
    <t>TURKEY*</t>
  </si>
  <si>
    <t>-</t>
  </si>
  <si>
    <t>** Where taxes are not levied in € per hlpa, an equivalent is calculated. See Explanatory Notes for more information.</t>
  </si>
  <si>
    <t>VAT***</t>
  </si>
  <si>
    <t>* Denotes country which does not use the Euro as domestic currency. For these countries, the % change reflects domestic currency terms.</t>
  </si>
  <si>
    <t>ALB</t>
  </si>
  <si>
    <t>(ALL)</t>
  </si>
  <si>
    <t>ALBANIA (EU Accession Candidate)</t>
  </si>
  <si>
    <t>ALBANIA*</t>
  </si>
  <si>
    <t>*** VAT rates shown are those applied to spirits. VAT is applied differently to some alcoholic beverages in some countries (AUS, LUX, PTG). See preceding worksheets or Explanatory Notes for further information.</t>
  </si>
  <si>
    <r>
      <t xml:space="preserve">MINIMUM EXCISE RATES: </t>
    </r>
    <r>
      <rPr>
        <sz val="9"/>
        <rFont val="Calibri"/>
        <family val="2"/>
      </rPr>
      <t xml:space="preserve">Articles 3 - 6  of Directive 92/84/EEC established the minimum excise tax rates (in ECU, now €)  effective from 1/1/93, i.e. spirits €550 per hlpa; (except those countries whose rates are €1,000 per hlpa or more, in which case they cannot fall below this level); intermediate products €45 per hl (equivalent, at an assumed strength of 18% vol, to €250 per hlpa); wine zero rate;  beer €1.87 per degree of alcohol per hl (i.e. €187 per hlpa) or €0.748 per hl per degree Plato of finished product.  </t>
    </r>
  </si>
  <si>
    <t>ICELAND (EFTA and EEA Member)</t>
  </si>
  <si>
    <t>13%/20%</t>
  </si>
  <si>
    <t xml:space="preserve">The national currency is the Macedonian Denar (MKD).
• ADDITIONAL TAXES: In 2011 a packaging/environmental fee was introduced, payable to private companies tasked with disposing of the packaging material (glass, paper etc.).
</t>
  </si>
  <si>
    <r>
      <rPr>
        <b/>
        <sz val="9"/>
        <rFont val="Calibri"/>
        <family val="2"/>
      </rPr>
      <t>LEVYING EXCISE DUTY</t>
    </r>
    <r>
      <rPr>
        <sz val="9"/>
        <rFont val="Calibri"/>
        <family val="2"/>
        <scheme val="minor"/>
      </rPr>
      <t>: Council Directive 92/83/EEC of 19 October 1992 details how excise should be levied for each alcoholic beverage category.
SPIRITS: (Article 20) excise duty on ethyl alcohol shall be fixed per hectolitre of pure alcohol (per hlpa) at 20°C, and shall be calculated by reference to the number of hectolitres of pure alcohol.
INTERMEDIATE PRODUCTS: (Article 18) excise duty fixed by reference to the number of hectolitres of finished product (per hl).
WINE: (Article 9): excise duty levied fixed by reference to the number of hectolitres of finished product (per hl).
BEER: (Article 3): excise duty levied fixed by reference either a) to the number of hectolitre/degrees Plato or b) to the number of hectolitre/degrees of actual alcoholic strength by volume of finished product. For the purposes of this table, where the beer excise is applied  per degree Plato, the calculation will be noted in the explanatory notes.</t>
    </r>
  </si>
  <si>
    <r>
      <t xml:space="preserve">EXCISE RATE COMPARISONS: </t>
    </r>
    <r>
      <rPr>
        <sz val="9"/>
        <rFont val="Calibri"/>
        <family val="2"/>
      </rPr>
      <t>In practical terms, the excise rates for spirits, beer, intermediate products and wine are expressed differently in Member States/EEA/EFTA/accession countries. To facilitate comparisons between categories within a Member State, as well as between Member States, an equivalent hlpa rate is calculated for each category. For intermediate products this is based on a notional product strength at 18% vol; for wine at 11% vol and for beer at 5% vol (12.5° Plato).</t>
    </r>
  </si>
  <si>
    <r>
      <t xml:space="preserve">EXCISE:  REDUCED RATES
</t>
    </r>
    <r>
      <rPr>
        <sz val="9"/>
        <rFont val="Calibri"/>
        <family val="2"/>
      </rPr>
      <t>* Article 22 of EC Directive 92/83 states that Member States may apply reduced rates of excise duty to ethyl alcohol produced by small distilleries within the following limits: 
&gt;&gt; the reduced rates, which may fall below the minimum rate, shall not be applied to undertakings producing more than 10 hectolitres of pure alcohol per year. However, Member States which applied reduced rates on 1 January 1992 to undertakings producing between 10 hectolitres and 20 hectolitres of pure alcohol per year may continue to do so. 
&gt;&gt;  the reduced rates shall not be set more than 50 % below the standard national rate of excise duty.</t>
    </r>
  </si>
  <si>
    <r>
      <rPr>
        <b/>
        <sz val="9"/>
        <rFont val="Calibri"/>
        <family val="2"/>
        <scheme val="minor"/>
      </rPr>
      <t>VAT:  REDUCED RATES</t>
    </r>
    <r>
      <rPr>
        <sz val="9"/>
        <rFont val="Calibri"/>
        <family val="2"/>
        <scheme val="minor"/>
      </rPr>
      <t xml:space="preserve">
* EC Directive 92/77/EEC required any reduced VAT rates on alcoholic drinks applying at 1/1/91 to be increased to at least 12% wef 1/1/93.  These derogations applied until the end of the 'transitional' period for the current VAT 'destination' system, i.e. 31/12/96;  however, the UK authorities advised that, in the absence of unanimous agreement on the introduction of the proposed replacement VAT 'origin' system, this 'transitional' period, and hence the derogations, could 'automatically' continue beyond that date.
&gt;&gt; Luxembourg increased its reduced wine rate from 12% to 14% in January 2016, in line with the standard rate of VAT increase from 15% to 17%.
&gt;&gt; Portugal increased its wine rate from 5% to 12% on 1 January 2002, and then to 13% on 1 July 2010.
* Council Directive 2006/112/EC, Article 119, allows Austria to apply a reduced rate, not lower than 12%, to wine produced on an agricultural holding by the producer-farmer.
&gt;&gt; Austria increased its parking rate for farm produced wine in January 2016 from 12% to 13%.</t>
    </r>
  </si>
  <si>
    <t xml:space="preserve">The national currency is the Albanian Lek (ALL).
• SPIRITS EXCISE I: The standard rate is ALL84,500 per hlpa. A reduced rate of ALL65,000 per hlpa applies to quantities up to 20,000 hl per year. 
• SPIRITS EXCISE II: Raki, the local spirit, is subject to a reduced excise rate of ALL20,000 per hlpa.
• INTERMEDIATE PRODUCTS EXCISE: applied at a rate of ALL5,200 per hl of product for beverages with an alcoholic strength by volume exceeding 15% vol., but not exceeding 22% vol.
• WINE EXCISE: The standard rate for wine with an actual alcoholic strength of up to 12.5% is ALL10,000 per hl and for wine exceeding 12.5%vol ALL12,000 per hl. A reduced rate of ALL3,000 per hl for wine  up to 12.5% vol and ALL4,000 per hl for wine exceeding 12.5% vol applies for quantities up to 10,000 hl per year.
• BEER EXCISE: The standard rate is ALL710 per hl per % vol. A reduced rate of ALL360 per hl applies to quantities up to 200,000 hl per year.
• ADDITIONAL TAXES: A packaging tax is levied at a rate of ALL100 per kilogram for goods in plastic packaging. Goods in glass containers are subject to a rate of ALL10 per kilogram.
</t>
  </si>
  <si>
    <t xml:space="preserve">The national currency is the Euro (€).
•  BEER EXCISE:  Levied at €3.02 per degree Plato per hl, i.e. at 5% vol. (12.5° Plato) the rate is equivalent to €37.75 per hl.
•  VAT:  From 1 January 2013 the rate of VAT increased from 21% to 22%. See also 'General' Note above. Special rules apply to 'small wine growers and their co-operatives' which benefit from a longstanding VAT exemption.
</t>
  </si>
  <si>
    <t xml:space="preserve">The national currency is the Euro (€).
•  WINE EXCISE: In January 2015, a wine excise was introduced.
•  BEER EXCISE: The standard rate is €1.93 per °Plato per hl; at a notional strength of 5% vol. (12.5 °Plato), the rate is equivalent to €24.13 per hl. Breweries with annual production not exceeding 200,000 hl benefit from a lower rate of €0.965/°Plato/hl.  
•  ADDITIONAL TAX:  Eco-Tax introduced from 1 January 2004 on the packaging of all alcoholic beverages.  Levied at a rate of €0.12 per unit (bottle) irrespective of pack size.
</t>
  </si>
  <si>
    <t xml:space="preserve">The national currency is the Euro (€).
•  SPIRITS EXCISE: The excise tax of €958.94 per hlpa applies in mainland Spain and the Balearic Islands. In the Canary Islands a reduced rate of €750.36 per hlpa applies. For small distillers, with an annual output not exceeding 10 hlpa, the excise tax in Spain is €839.15 per hlpa and in the Canary Islands €653.34 per hlpa.
•  INTERMEDIATE PRODUCTS EXCISE:  Intermediate products are taxed at two rates depending on their alcoholic strength, viz 15% vol and below - €38.48 per hl; over 15% vol - €64.13 per hl. In the Canary Islands the rates are, respectively, €30.14 and €50.21 per hl.
•  BEER EXCISE:  Differing rates apply to different strength bands, i.e. above 2.8% vol, but below 11° Plato, it is €7.48 per hl; 11° to 15° Plato it is €9.96 per hl; above 15° to 19° Plato it is €13.56 per hl; above 19° Plato it is €0.91 per ° Plato per hl.
CANARY ISLANDS: A different duty &amp; tax regime applies, viz (a) a special import duty (AIEM) (15%) applies only to imported rum;  (b) Alcohol Tax is levied on all spirits at  €714.63 per hlpa; (c) IGIC (equivalent to VAT) applies to all spirits at 13%.
</t>
  </si>
  <si>
    <t xml:space="preserve">The national currency is the Euro (€).
•  SPIRITS EXCISE:  Comprises Excise Tax (ET) (€223.1042) plus Special Excise Tax (SET) (€2,769.69 per hlpa).
•  INTERMEDIATE PRODUCTS EXCISE:  Comprises ET (€66.9313) plus SET (€90.8479 per hl). For products below 15% vol a rate of €118.5944 per hl applies, comprised of ET (€47.0998 per hl) and SET (€71.4946 per hl).
•  WINE EXCISE:  Still wines are exempt from ET.  Over 8.5% vol SET is €74.9086 per hl (for still wines of 8.5% vol and below, SET is €23.9119 per hl). Sparkling wine is taxed at €256.3223 per hl of product.
•  BEER EXCISE:  Comprises ET (€0.7933) plus SET (€1.2110 per º Plato per hl).  At a strength of 5% vol (12.5º Plato) this equates to a rate of €25.05375 per hl. A range of lower rates apply to breweries with an annual output below 200,000 hl.
•  ADDITIONAL TAXES: From 1 April 2004 a packaging levy was applied to all drinks containers except those that are part of a refilling scheme. As of April 2007, the levy is €0.0986 per litre of product.  The rate for recyclable packaging is: €0.0141 per litre of product.
</t>
  </si>
  <si>
    <t xml:space="preserve">The national currency is the Euro (€).
</t>
  </si>
  <si>
    <t xml:space="preserve">The national currency is the Danish Krone (DKK).
•  WINE EXCISE: The rate shown (DKK1,161 per hl of product) applies to wine above 6% vol and not exceeding 15% vol. Over 1.2% to 6% the rate is DKK534 per hl of product. Sparkling wine and fruit wine are subject to an additional duty of DKK335 per hl of product.
•  BEER EXCISE: Beer with an alcohol content of less than 2.8% vol is exempt.
•  ADDITIONAL TAXES: 'Special Tax':  levied on new containers according to capacity,  e.g. DKK1.60 per 70cl or 1 litre bottle. 
</t>
  </si>
  <si>
    <t xml:space="preserve">The national currency is the Euro (€).
•  SPIRITS EXCISE:  A reduced rate of 50% applies to small distilleries  producing no more than 20 hlpa per year.
•  INTERMEDIATE PRODUCTS EXCISE: Below 15% vol a rate of €47.10 per hl applies. 
•  BEER EXCISE:  Levied at €0.7933 per degree Plato per hl, i.e. at 5% vol (12.5° Plato) the rate is €9.92 per hl.
•  VAT:  See 'General' Note above.  A reduced VAT rate of 14% applies to wine with an alcohol content no higher than 13% abv.
</t>
  </si>
  <si>
    <t xml:space="preserve">The national currency is the Euro (€).
• INTERMEDIATE PRODUCTS EXCISE: Between 1.2% and 22% vol a rate of €100 per hl of product applies.
</t>
  </si>
  <si>
    <t xml:space="preserve">The national currency is the Euro (€). 
•  INTERMEDIATE PRODUCTS EXCISE: The rate for intermediate products up to 15% vol is €105.98 per hl. Sparkling intermediate products are taxed at €149.30 per hl.
•  WINE EXCISE: Wine up to 8.5% vol is taxed at €44.24 per hl, above 15% vol at €91.50. The rate for sparkling wine up to 8.5% vol is €44.24, above 8.5% vol €88.30 per hl.
•  BEER EXCISE: The rate quoted is for beer over 11° and up to 15° Plato. For beer below 7° Plato the rate is €8.83 per ° Plato per hl. For beer over 7° and up to 11° the rate is €28.49 per ° Plato per hl. Above 15° Plato the rate is €47.48 per ° Plato  per hl. 
</t>
  </si>
  <si>
    <t xml:space="preserve">The national currency is the Euro (€).
•  SPIRITS EXCISE:  A reduced rate of excise, 50% of the standard rate, applies to households that contribute fruit to a local distillery and produce spirits for personal consumption, up to a limit of 50 litres of finished product per year. As of 1 January 2019 home distillation was legalised and a reduced rate of 50% of the standard rate for spirits applied.
•  INTERMEDIATE PRODUCTS EXCISE:  The rate is calculated as 60% of the spirits rate multiplied by a coefficient of 0.13. 
•  BEER EXCISE: The rate per % vol per hl is calculated by multiplying 7.907% of the spirits rate by a coefficient of 0.042. A lower rate (per % vol per hl) applicable to small breweries producing no more than 200,000 hl per year is calculated by multiplying 5.847% of the spirits rate by a coefficient of 0.042. 
•  WINE EXCISE:  The rate for sparkling wine is €79.65 per hl of product and sparkling wine with an alcohol content of 8.5% vol or less is €54.16 per hl of product.
</t>
  </si>
  <si>
    <t xml:space="preserve">The national currency is the Euro (€).
•  SPIRITS EXCISE:  A reduced tax rate (perhaps a licence fee) is applied to small-scale distillation for non-commercial purposes up to a maximum quantity of 5 hlpa per annum: for stills with a capacity up to 40 litres - 0; from 40 to 100 litres - €12.5 per annum;  from 100 -500 litres - €25 per annum.  
•  INTERMEDIATE PRODUCTS EXCISE:  Most are subject to a tax of €132 per hl of product, but some seem to be exempt.
</t>
  </si>
  <si>
    <t xml:space="preserve">The national currency is the Swiss Franc (CHF).
•  BEER EXCISE: 
    - Light beer up to 10˚ Plato &gt; CHF16.88
    - Beer between 10.1˚ - 14˚ Plato &gt; CHF25.32
    - Strong beer more than 14.1˚Plato &gt; CHF33.76
There is also a reduced rate applicable to small breweries, ranging from a 1% reduction for breweries that produce 54,000hl to 40% for those that produce 15,000 hl.
</t>
  </si>
  <si>
    <t xml:space="preserve">The national currency is the Euro (€).
•  SPIRITS EXCISE:  The total includes Special Consumption Tax (SCT) of €2,450 per hlpa plus Chemists Fund (CF) (4% of SCT) and Stamp Duty (SD) (2.4% of CF) (See also NOTE 1 below). Ouzo benefits from a lower total (€1,275.18 per hlpa), based on a 50% reduction in SCT (€1,225 per hlpa).  These derogations are in Directives 92/83 and /84 respectively.  
'TSIPOURO' and 'TSIKOUDIA' EXCISE:  It emerged late in 2010 that Greece also applies reduced rates to 'tsipouro' and 'tsikoudia'.  In bottle this is at the same rate as ouzo but in bulk it equates to €1.4 per litre.  There is no EU basis for such reduced rates. In 2011, the Commission began infraction proceedings against the Greek government. In February 2018 the Commission referred Greece to the Court of Justice over reduced rate of excise duty applied to "Tsipouro" and "Tsikoudià". On 11 July 2019, the court confirmed that there is no exemption or derogation in place that would permit Greece to treat tsikoudia and tsipouro more favourably than other products, but that it infringes the EU principle of equal treatment of local and imported spirits and illegally protects domestic production. In addition, although small distilleries may benefit under certain conditions from a reduced excise rate, this cannot be less than 50% of the standard national rate. By applying a significantly reduced rate, the “two-day distiller scheme” does not respect these conditions.
NOTE: The 50% excise tax reduction applied to all spirits sold in Dodecanese (imported or domestically produced) was removed  at the end of 2017 and from 1 January 2018, spirits excise were equalised with mainland Greece.
•  INTERMEDIATE PRODUCTS EXCISE:  Includes SCT (€102 per hl) plus CF (4% of SCT) and SD (2.4% of CF).  Certain liqueur wines benefit from a reduced SCT rate (€51 per hl).
•  WINE EXCISE:  Excise on wine was abolished on 1 January 2019 having been introduced on 1 January 2016.
•  BEER EXCISE:  Levied at €5 per degree Plato per hl. At 5% vol (12.5° Plato) the rate is €62.50 per hl.
•  WINE EXCISE:  Excise on wine was abolished on 1 January 2019 having been introduced on 1 January 2016.
•  VAT:  Increased to 24% on 1 June 2016 and from 1 January 2017 applied to all Greek islands with the exception of : Lesbos, Chios, Samos, Kos and Leros which benefit from reduced rates as permitted by Directive 92/77/EEC. 
•  ADDITIONAL TAXES: 'Chemists Fund' and 'Stamp Duty' - see 'Spirits/Intermediate Products Excise' above.
</t>
  </si>
  <si>
    <t xml:space="preserve">The national currency is the Euro (€).
•  SPIRITS EXCISE: The excise rate on Spirits is €1,881 per hpla 
• WINE EXCISE: The tax is levied at €147.82 per hectolitre of product over 6% vol. The same duty is applied to sparkling wine. For products below or equal to 6% vol. the rate applied is €63.35 per hectolitre of product.
• BEER EXCISE: Excise duty rate on beer is 50% of the standard rate if annual production is less than 600 000 litres. 
• ADDITIONAL TAXES:  A levy on packaging materials applies to glass/ceramics at a rate of €0.102 per kg (other rates apply to other materials). No tax is paid on packages containing at least 60% recycled material.
</t>
  </si>
  <si>
    <t xml:space="preserve">The national currency is the Swedish Krona (SEK).
•  INTERMEDIATE PRODUCTS EXCISE:  For products with an alcoholic strength of 2.25% to 4.5% vol., the rate is SEK9.19 per litre of product. Between 4.5% and 7% vol. the rate is SEK13.58 per hl. From 7%-8.5% vol. the rate is SEK18.69 per hl.
•  WINE EXCISE:  Different rates apply to different strength bands, i.e. above 8.5% vol up to 15% vol. the rate is SEK26.18 per litre of product; above 15% (with a maximum of 18% vol.) it is SEK54.79 per litre (this is also the rate quoted for intermediate products at a notional strength of 18% vol.).
</t>
  </si>
  <si>
    <t xml:space="preserve">The national currency is the Czech Koruna (CZK). 
•  SPIRITS EXCISE:  Spirits excise duty rate is 32250 CZK/hla, effective 01.01.2020.Excise Tax for 'small producers distilling for private consumption' (i.e. individual or family growers who distil their own fruit) is CZK16,200 per hlpa.  A limit of 30 litres of finished product per grower per year applies.  
•  INTERMEDIATE PRODUCTS EXCISE:  Sparkling wines and intermediate products like port, vermouth and sherry are subject to excise tax at CZK23.4 per litre of product. Spirits-based products are taxed at the spirits rate. 
•  BEER EXCISE:   Excise tax on  beer is CZK32 per hl per °Plato for breweries producing more than 200,000 hl per annum.  At a notional strength of 5% vol., equivalent to 12.5 ° Plato, the rate is CZK400 per hl. Reduced rates are applicable for small breweries with a varying range of outputs.
</t>
  </si>
  <si>
    <t xml:space="preserve">The national currency is the Croatian Kuna (HRK).
•  SPIRITS: Excise duty on spirits was increased from HRK5,300 to HRK6,000 on 1 April 2020. Small spirits producers who make less than 20 lpa per year pay a fixed tax according to the capacity of their still: Between 40 and 100 litres = HRK100; over 100 litres = HRK200. 
The Commission issued Reasoned Opinion in December 2016 requesting Croatia change its rules for excise on spirits produced by small producers for their own consumption.
Background: Croatia allows a reduced rate of excise duty to be applied to small producers who produce up to 20 lpa per household for their own consumption. According to EU rules Member States are allowed to grant a maximum 50% reduction of the normal excise duty rate to small producers per year, if no more than 10 hlpa are produced. A flat rate of excise duty is applied depending on the capacity of the boiler used for production (i.e. HRK 100 for a boiler capacity up to 100 litres and HRK 200 for any boiler larger than that). Because the reduced rate applied by Croatia is linked to the capacity of the boiler and paid on a flat rate basis, regardless of the actual amounts produced, it does not comply with EU rules. The Commission may decide to refer the case to the Court of Justice of the EU.
•  INTERMEDIATE PRODUCTS EXCISE: At 15%-22% vol., excise tax is HRK800 per hl of finished product. Between 10%-15% vol. the excise rate is HRK500 per hl of finished product. 
</t>
  </si>
  <si>
    <r>
      <t xml:space="preserve">The national currency is the Euro (€).
•  SPIRITS EXCISE: The new rate for spirits was increased by 10.5%, from €1,832 to €2,025 per hlpa on 1 March 2020.
•  INTERMEDIATE PRODUCTS EXCISE: Up to  and including 15% vol the rate is €185.82 per hectolitre of product. Over 15% vol the rate is €264.52 per  hectolitre.
•  WINE EXCISE:  &gt;8.5% vol the rate is €164.67 per hl;  &lt;= 8.5% vol. (and content 100% fermented) a reduced rate applies €65.46 per hl.
•  BEER EXCISE: The rate of excise applied is €7.11 per % vol. Small scale breweries receive a 50% excise reduction. 
</t>
    </r>
    <r>
      <rPr>
        <b/>
        <sz val="9"/>
        <rFont val="Calibri"/>
        <family val="2"/>
      </rPr>
      <t>NOTE:</t>
    </r>
    <r>
      <rPr>
        <sz val="9"/>
        <rFont val="Calibri"/>
        <family val="2"/>
      </rPr>
      <t xml:space="preserve"> The Lithuanian Government adopted a three-year plan to successively increase excise on all alcoholic beverages starting from 1 March 2016. While the original plan included 2.5% increases in March 2017 and 2018, in March 2017 excise on spirits increased 23% to €1,665.04 per hlpa. Excise on beer and wine rose by 112%, and duty on intermediate products by 92% or 94% respectively depending on alcoholic strength. However, the planned excise increases for March 2018 did not take place. On 1 March 2019 spirits excise increased to €1,832 per hlpa while other alcoholic beverage excise rates remained unchanged. Excise on spirits was increased by 10.5% in March 2020. 
</t>
    </r>
  </si>
  <si>
    <t xml:space="preserve">The national currency is the Euro (€).
•  SPIRITS EXCISE: The tax rate is €1,386.93 per hlpa in mainland Portugal and the Azores. The standard rate in Madeira is €1,241.29 per hlpa, effective 01.04.2020. A reduced excise tax, of 25%, applies to rum and liqueurs produced and consumed in Madeira. A reduced rate of 25% of the standard rate in mainland Portugal and the Azores applies to liqueurs and eaux de vie produced and consumed in the Azores. (Directive 92/84/EEC makes provision for the continuing application of reduced rates on certain wines/rums/fruit liqueurs in Madeira and certain other fruit liqueurs and wine/marc eaux de vie in the Azores.). Small distilleries pay a reduced rate of 50% (maximum quantity per year 10 hlpa). Individuals providing own raw materials and producing spirits for personal consumption are exempt from excise tax if the amount   of tax due remains below €10, or, in case of non-commercial spirits, if the limit of 30 l of finished product per producer per year is not exceeded.
• INTERMEDIATE PRODUCTS EXCISE: The rate is €76.10 per hl of product, equivalent to €423 per hlpa at a notional strength of 18% vol.
• BEER EXCISE: The rate quoted applies to beer above 11° and up to 13° Plato. The following rates (all ° Plato per hl) apply to beers of other strengths: less than or equal to 7° Plato = €10.44;  &gt; 7° and less than or equal to 11° Plato = €16.70;  &gt;11° and less than or equal to 13° Plato = €20.89;  &gt;13° and less than or equal to  15° Plato =€25.06;  &gt; 15° Plato = €29.30. A reduced rate of €8.34 per hl applies to low strength beer  (&gt;0.5% and below or equal to 1.2% vol).
•  VAT:  See 'General' Note above.  Also, reduced rates apply in Madeira (wine 12%; all other alcoholic beverages 22%) and in the Azores (wine 9%; all other alcoholic beverages 18%). Directive 77/388/EEC permits a special reduced standard rate in these territories.
</t>
  </si>
  <si>
    <t xml:space="preserve">The national currency is the Euro (€).
•  INTERMEDIATE PRODUCTS EXCISE: Up to and including 15% vol. = €106  per hl; above 15% vol. to 22% vol. = €176 per hl.
•  BEER EXCISE: €7.80 per % vol per hl, but subject to a minimum yield.  For small breweries the rate is equivalent to €3.90 (50% of €7.80) per % vol per hl for the first 10,000 hl.
•  WINE EXCISE:  Still and sparkling wine are taxed at a rate of €106 per hl of product. 
•  SPIRITS EXCISE: The new rate for spirits was increased by 5%, from €1,564 to €1,642 per hlpa on 1 March 2020. Excise on spirits is set to rise to €1.724 per hlpa by 1 March 2021.
</t>
  </si>
  <si>
    <t>TURKEY</t>
  </si>
  <si>
    <t xml:space="preserve">The national currency is the Euro (€).
•  INTERMEDIATE PRODUCT EXCISE: Still products not exceeding 15% are taxed at a lower rate of €424.84 per hl. Sparkling intermediate products are taxed at a higher rate of €849.68 per hl.
•  OTHER FERMENTED BEVERAGES EXCISE: Cider and Perry: still and sparkling not exceeding 2.8% vol are taxed at a reduced rate of €47.23 per hl. Still and sparkling exceeding 2.8% vol but not exceeding 6.0% vol are taxed at €94.46 per hl. Still and sparkling, exceeding 6.0% vol but not exceeding 8.5% vol are taxed at €218.44 per hl. Still cider and perry exceeding 8.5% vol are taxed at a higher rate of €309.84 per hl. Sparkling cider and perry exceeding 8.5% vol are taxed at a higher rate of 619.70 per hl.
•  WINE EXCISE: Still and sparkling wine not exceeding 5.5% vol is taxed at a reduced rate of €141.57 per hl of product. Still wine exceeding 15% vol is taxed at a higher rate of €616.45 per hl of product. Sparkling wine exceeding 5.5% vol is taxed at a higher rate of €849.68. 
•  BEER EXCISE: A reduced excise rate of  €11.27 per hl per cent of alcohol in the beer is applicable to beer exceeding 1.2% vol but not exceeding 2.8% vol. Beer exceeding 0.5% vol but not exceeding 1.2% vol is zero-rated.
• VAT: In response to the Covid crisis Ireland cut VAT from 23% to 21%, effective from 1 September 2020 to 28 February 2021.
</t>
  </si>
  <si>
    <t>The national currency is the Serbian Dinar (RSD).
• Alcohol excise duty (all categories): Alcohol excise duty rates increased by 1.9% on 01.06.2020.
• SPIRITS EXCISE: Whisky, tequila, rum (defined as 'brandy made from cereals and other agricultural raw materials') are taxed at RSD343.70 per litre of finished product. The hlpa rate in the table is based on a whisky at 40% vol.  Other spirits, including liqueurs, vodka, gin, bitters (defined as 'hard beverages and liqueurs'), are taxed at RSD220.8 per litre. Spirits derived from wine, grapes and other fruits ('brandy made from fruits, grapes, special brandy') pay RSD134.87 per litre.  So-called 'low-alcohol content' beverages (with an alcohol content of 5-15% vol) are taxed at RSD22.84 per litre.  It is understood that excise rates are adjusted annually according to the consumer price index of the previous year.
• BEER EXCISE: Beer is taxed at RSD26.10 per litre of finished product. For the purposes of this table the hlpa rate is based on a beer at 5% vol.
• ADDITIONAL TAXES: A packaging/environmental fee is applied, calculated per ton of packaging waste (e.g. glass, paper, metal).</t>
  </si>
  <si>
    <t>NORWAY</t>
  </si>
  <si>
    <t xml:space="preserve">The national currency is the Euro (€).
•  SPIRITS EXCISE:  Reduced rates apply to the production of small distilleries (max 10hl per year), a) for distilling for individuals (max 50l of finished product)  who provide their own raw materials (€1,022 per hlpa), and b) for commercial sale (€730 per hlpa/max 4hl per year) as permitted by Directive 92/83. The Alcohol Monopoly was abolished at the end of 2017.
•  INTERMEDIATE PRODUCTS EXCISE: The rate shown is for products above 15% vol.  For those up to 15% vol the rate is €102 per hl of finished product.
•  WINE EXCISE:  Sparkling wine is taxed at a rate of €136.00 per hl of products and sparkling wine with an alcoholic content of &lt;6% abv is taxed at €51.00 per hl of product .
•  BEER EXCISE:  Levied at €0.787 per degree Plato per hl.  At 5% vol (12.5° Plato) the rate is €9.8375 per hl.
•  VAT: In response to the Covid crisis Germany cut VAT from 19% to 16%, effective from 1 July to 31 December 2020. As of 1 January 2021 the “old” VAT rate (19%) once again applies.
</t>
  </si>
  <si>
    <t>Tables and explanatory notes updated to reflect the end of a temporary decrease in VAT in response to the Covid crisis, effective 01.01.2021.</t>
  </si>
  <si>
    <t>Exchange rates to € at 01/10/2020</t>
  </si>
  <si>
    <t>Summary of Tax Rates of Alcoholic Beverages in Europe 
- January 2021 -</t>
  </si>
  <si>
    <r>
      <rPr>
        <b/>
        <sz val="9"/>
        <color rgb="FFC00000"/>
        <rFont val="Calibri"/>
        <family val="2"/>
        <scheme val="minor"/>
      </rPr>
      <t>UNITED KINGDOM</t>
    </r>
    <r>
      <rPr>
        <b/>
        <sz val="10"/>
        <color rgb="FFC00000"/>
        <rFont val="Calibri"/>
        <family val="2"/>
        <scheme val="minor"/>
      </rPr>
      <t xml:space="preserve">
</t>
    </r>
    <r>
      <rPr>
        <b/>
        <sz val="8"/>
        <color rgb="FFC00000"/>
        <rFont val="Calibri"/>
        <family val="2"/>
      </rPr>
      <t>(N.B. further details of actual rates given in separate Explanatory Notes)</t>
    </r>
  </si>
  <si>
    <t>Tables and explanatory notes updated to reflect an increase in alcohol excise duties, effective 04.01.2021.</t>
  </si>
  <si>
    <t>Taxation of Alcohol Beverages in Europe (January 2021) 
Summary of changes since October 2020 edition of the table</t>
  </si>
  <si>
    <r>
      <t>The national currency is the Euro (€).
Since the start of 2009, excise tax increases on all alcoholic beverages have been indexed to the inflation rate of the year before last; i.e. excise tax in 2012 was increased by 1.5%, which was the inflation rate in 2010.
In 2012 however, products subject to excise increases were exempt from indexation, and a "cap" of 1.75% was introduced for future inflation-linked tax rises. 
•  SPIRITS EXCISE: Lower rates apply to French Overseas Department Rum (€901.84 per hlpa; maximum quantity 144,000 hlpa per year), as permitted by Directive 92/83/EEC. With an additional levy,  the social security contribution (see below), the total tax on spirits is €2,381.47 per hlpa. For FOD rum it is €1,480.64 per hlpa. A reduced rate of 50% applies to small non-commercial distilleries if producing less than 10 lpa per year. Bouilleurs de Cru, very small, private distillers, used to be exempt from excise tax as a heritable right. The exemption is no longer heritable and only applies until their or their spouse's death.
•  INTERMEDIATE PRODUCTS EXCISE: A reduced rate (€48.87 per hl) applies to 'vins doux naturels', as permitted by Directive 92/83/EEC. A reduced social security contribution (see below) of €48.87  per hl also applies to all intermediate products. 
•  WINE EXCISE:  A "movement tax" of €3.91 per hl is applied. Sparkling wine is taxed at €9.68 per hl of product.
•  BEER EXCISE:  For beer with an alcoholic strength not more than 2.8% vol. the excise tax is €3.84 per lpa. In addition, a reduced rate €3.84 per lpa exists for small breweries  where the level of output is below 200,000hl.
•  ADDITIONAL TAX:  Social Security Contribution on alcoholic beverages over 18% vol:  €578.80 per hlpa on spirits above 18% vol and €48.87 per hl on intermediate products. The contribution is limited to 40% of the excise rate for some intermediate products like vin doux naturel and certain liqueur wines (€19.56 per hl).  Beer above 18% vol pays €3.08 per degree per hl. The social security contribution for small breweries is €1.53 per degree per hl.</t>
    </r>
    <r>
      <rPr>
        <sz val="9"/>
        <color rgb="FFFF0000"/>
        <rFont val="Calibri"/>
        <family val="2"/>
        <scheme val="minor"/>
      </rPr>
      <t xml:space="preserve">
</t>
    </r>
    <r>
      <rPr>
        <sz val="9"/>
        <rFont val="Calibri"/>
        <family val="2"/>
        <scheme val="minor"/>
      </rPr>
      <t xml:space="preserve">
</t>
    </r>
  </si>
  <si>
    <t>Tables and explanatory notes updated to reflect an increase in alcohol excise duties, effective 01.01.2021.</t>
  </si>
  <si>
    <t>Tables and explanatory notes updated to reflect the introcution of additional taxes on small pack sizes, effective 01.01.2021.</t>
  </si>
  <si>
    <t>Explanatory notes updated to reflect a new tax exemption for home distilled palinka, effective 01.01.2021.</t>
  </si>
  <si>
    <t>Taxation of Alcohol Beverages in Europe (January 2021)
General notes on EU excise and VAT structures and detailed notes on individual countries</t>
  </si>
  <si>
    <t>Prepared for spiritsEUROPE by the Scotch Whisky Association, January 2021.
While the SWA endeavours to ensure the accuracy of the above information, it accepts no legal responsibility for any errors, omissions or misleading statements caused by negligence or otherwise.</t>
  </si>
  <si>
    <t>EURO (€) RATES</t>
  </si>
  <si>
    <r>
      <rPr>
        <b/>
        <sz val="9"/>
        <rFont val="Calibri"/>
        <family val="2"/>
        <scheme val="minor"/>
      </rPr>
      <t xml:space="preserve">EURO (€) RATES: </t>
    </r>
    <r>
      <rPr>
        <sz val="9"/>
        <rFont val="Calibri"/>
        <family val="2"/>
        <scheme val="minor"/>
      </rPr>
      <t xml:space="preserve">Article 9 of Directive 92/84/EEC requires that the rates of exchange to be used (a) should remain unchanged throughout the calendar year and (b) should be fixed at the rate of exchange on the first working day in October of the preceding year, i.e. the rate for 2021 was set on 1 October 2020.
&gt;&gt; For EU countries outside the Eurozone (Croatia, Czech Republic, Denmark, Hungary, Poland, Romania, Sweden), the EEA/EFTA countries, Turkey and the United Kindom the exchange rates used are those shown in OJ C 325/10 of 02 October 2020.
&gt;&gt; Although not part of the Eurozone, the Bulgarian Leva is pegged to the Euro at the fixed rate of €1 = BGL1.95583. 
&gt;&gt; The exchange rates for Albania, Macedonia and Serbia are based on the European Commission's InforEURO Currency Converter for the month of October 2020. </t>
    </r>
  </si>
  <si>
    <t>Tables and explanatory notes updated to reflect an increase in spirits excise duties, a decrease in beer and wine duties and an increase in additional taxes, effective 01.01.2021.</t>
  </si>
  <si>
    <t xml:space="preserve">The national currency is the Romanian Leu (RON). Having previously measured excise rates in Euro, in 2015, Romania recalculated the base measure of duty to RON. Following a reduction in spirits excise in January 2016, it was announced that the rate of excise for alcoholic beverages will increase annually by the rate of inflation.
• SPIRITS EXCISE: Small distilleries pay a reduced excise rate of RON 1,823.96(max quantity 10 hlpa per year). This rate was increased by 3.03%, from RON 1,770.39 per hlpa. The change came into force in January 20201. Article 353.2 of the Fiscal Code states that brandy and fruit spirits for personal consumption of households, up to a maximum amount equivalent to 0.50 hl of pure alcohol / year for each individual household can benefit by applying a 50% share of the standard duty on ethyl alcohol, provided they are not being sold commercially.
•  WINE EXCISE: The rate for sparkling wine is RON52.26 per hl of product.
•  BEER EXCISE:  The standard rate for imported beer and producers producing &gt; 200,000 hlpa is RON3.64/°Plato; at a notional strength of 5% vol. (12.5 °Plato) the rate is equivalent to RON45.5 per hl. Small producers, producing &lt; 200,000 hlpa benefit from a lower rate: RON2.01 per hl/°Plato.
</t>
  </si>
  <si>
    <t xml:space="preserve">The national currency is the Turkish Lira (TRY). 
In 2012 Turkey announced that excise on alcoholic beverages would be subject to inflation-linked increases in January and July each year. All alcohol duties were increased by 17.1% in January 2021.
•  SPIRITS EXCISE: Discrimination between types of spirits was due to be reduced in fixed stages and eliminated by April 2018. While  steps to harmonise rates were taken in 2009, 2012 and 2015, Turkey subsequently increased rates on several occasions.  The Commission advised Turkey this breached the agreed plan and the commitments in the accession negotiations.  Turkey harmonised rates in May 2018. 
•  INTERMEDIATE PRODUCTS EXCISE: Turkey's tax law includes fortified wines in the still wines excise category. Separately, a rate on vermouths and aromatised wines is applied at TRY119.9941per litre. Other intermediate products at 18% vol. or below are taxed at TRY95.2890 per litre (as in the table) and for those above 22% vol. are taxed at TRY326.9929per litre (i.e. the upper rate for spirits). 
•  BEER EXCISE: The rate is 63% ad valorem, subject to a minimum of TRY2.3933per degree of alcohol per litre.
</t>
  </si>
  <si>
    <t xml:space="preserve">The national currency is the Norwegian Krone (NOK).
•  SPIRITS EXCISE: Applies to spirits-based beverages containing more than 0.7% abv. 
•  INTERMEDIATE PRODUCTS AND WINE: Alcoholic beverages between 4.7% vol and 22% vol are subject to excise tax of NOK4.76 per % vol per litre. 
•  'LOW STRENGTH' ALCOHOLIC DRINKS: All non-spirit based alcoholic beverages over 0.7% vol and up to and including 4.7% vol, including beer, are subject to the following rates: NOK3.27 per litre over 0.7% vol and up to and including 2.7% vol; NOK12.28 per litre over 2.7% vol and up to and including 3.7% vol; and NOK21.27 per litre over 3.7% vol and up to and including 4.7% vol.
•  BEER EXCISE:  Rate of NOK4.76 per % vol. per litre. The rate quoted applies to 'strong' beer, above 4.7% vol, sold only by the monopoly.  Retail sales of beer outwith the monopoly account for 96% of total beer sales in Norway, and most of this is subject to excise of NOK21.27 per litre (i.e. for 'low strength' products over 3.7% and up to and including 4.7% vol).
•  ADDITIONAL TAXES:  Non-refillable bottles are subject to an Environment Tax of NOK 6.20 per unit,  plus a "basic fee" of NOK1.27, comprising a total Packaging Tax of NOK 7.47 per unit. Locally refillable bottles are subject to a (returnable) Environment Deposit and benefit from reduced rates of Environment Tax.
</t>
  </si>
  <si>
    <t xml:space="preserve">The national currency is the Polish Zloty (PLN).  
•  BEER EXCISE:  The rate is PLN8.57 per degree Plato per hectolitre.
• ADDITIONAL TAXES: A new tax on the so-called "Monkey bottles", small pack sizes not exceeding 300ml, is in place since 1 January 2021.  The fee is PLN 25 per lpa (e.g. PLN 1 for a 100 ml bottle of 40% vodka, PLN 2 for a 200 ml bottle of 40% vodka and 88 gr for a bottle of 250 ml of 14% wine). The new tax affects mostly spirits, as in Poland, only spirits and small quantities of wine are sold in bottles smaller than 300 ml, while beer tends to be sold in larger containers sizes. 
</t>
  </si>
  <si>
    <t>ICELAND</t>
  </si>
  <si>
    <r>
      <t>The national currency is the Icelandic Krona (ISK).
•  INTERMEDIATE PRODUCT EXCISE: Icelandic customs authorities have indicated that the excise tax on intermediate products is the same as the spirits rate,  except for wine-based intermediate products, which are taxed at the wine rate.
•  WINE EXCISE:  For the purpose of wine excise, the first 2.25% vol are not taken into account. For wine at 11% vol, the excise calculation is: ISK 117.3 x (11 - 2.25) = ISK 1,026.375per litre. 
•  BEER EXCISE: For the purpose of beer excise, the first 2.25% vol are not taken into account.  For beer at 5% vol, the excise calculation is: ISK128.80  x (5 - 2.25) = ISK 354.20 per litre. 
•  ADDITIONAL TAX:  Bottle Tax - a 'green fee' of ISK14.41 applies to all types of beverages . A surcharge is levied on the type of material the container is made of, e.g. bottles  made from clear plastic, coloured plastic, from glass varying according to size (below or above 500 ml), or steel packaging.  The surcharge for glass bottles up to 500ml is ISK3.90, for glass bottles above 500ml ISK5.30.</t>
    </r>
    <r>
      <rPr>
        <sz val="9"/>
        <rFont val="Calibri"/>
        <family val="2"/>
      </rPr>
      <t xml:space="preserve">
</t>
    </r>
  </si>
  <si>
    <t>Tables and explanatory notes updated to reflect an increase in excise duties, effective 01.01.2021.</t>
  </si>
  <si>
    <t>Tables and explanatory notes updated to reflect an update in EURO exchange rates. The rate for 2021 was set on 1 October 2020.</t>
  </si>
  <si>
    <t xml:space="preserve">The national currency is the Pound Sterling (GBP).
Please note: In March 2008, the UK government signalled that increases in excise tax on all alcohol products would be 2% above the rate of inflation until 2015. In March 2014, the UK removed the alcohol duty escalator. Beer was removed from the scope of the alcohol duty escalator in 2013. In March 2015, excise on spirits was cut by 2%. Following a freeze in duty in 2016, alcoholic beverages were subject to an inflationary increase (+3.9% according to the Office for Budget Responsibility forecasts) in March 2017. In the second budget announcement of the year, in November 2018, excise was unchanged. However, a new duty band for still cider and perry from 6.9% to 7.5% alcohol by volume (abv) at £50.71 per hl of product, to target white ciders, was introduced in Februar2019.
•  WINE EXCISE: Duty on wine and made-wine exceeding 5.5% but not exceeding 15% abv; £297.57 per hl product.
•  BEER EXCISE: From 01/06/02, reduced excise rates have been applied to beer produced by independent breweries whose annual output is less than 30,000 hl. This is known as “Small Brewer’s Relief”. 
The lowest rate, for breweries with an annual output of up to 5,000 hl, is 50% of the standard beer rate.  Above this level, the tax rate is calculated according to the following formula: % of standard beer excise = (Annual production -2,500 hl)/Annual production. 
Thus a brewery with an annual output of 15,000 would pay 83% of the standard rate.  From 01/06/04, reduced excise rates have also been applied to independent breweries whose annual output is between 30,000 and 60,000 hl. The rate is calculated using the following formula:  % of standard beer excise = Annual production - (2,500 - 8.33% of Annual production in excess of 30,000hl)/Annual production. Thus a brewer with an annual output of 45,000 hl would pay 97% of the standard beer rate. High Strength Beer Duty was introduced on 01/10/11 and adds an extra £5.69 per % vol per hectolitre to beer above 7.5% vol., making the total excise £24.77 per % vol per hl. Small Brewer’s Relief may still be claimed on the standard beer duty element of the tax due on beer over 7.5% vol (i.e. up to £19.08 per % vol per hl).Excise on beer at 2.8% vol or below is £8.42 per % vol per hl.
CHANNEL ISLANDS
•  SPIRITS EXCISE: Jersey levies an excise rate of £4,245 per hlpa on spirits (spirits produced by a small independent distiller of spirits pays £2,124per hlpa). In Guernsey spirits are taxed at £3,990 per hlpa.
•  WINE EXCISE: Jersey levies an excise rate of £219 per hectolitre of product exceeding 5.5% abv but not exceeding 15.0% abv. Wines exceeding 1.2% volume but not exceeding 5.5% volume are taxed at a rate of £80.27 per hectolitre of product and wines exceeding 15% volume but not exceeding 22% volume are taxed at £258.16 per hectolitre. Wines exceeding 22% volume are taxed at the same rate as spirits (see "Spirits Excise" above). Guernsey levies an excise rate of £0.69 per litre for wines exceeding 1.2% vol but not exceeding 5.5% vol; £2.81 per litre on wine &gt;5.5% vol but not exceeding 15% vol; £4.49 per litre for other wines.
•  BEER/CIDER EXCISE: Jersey levies an excise rate on weaker (1.2%&lt;2.8% abv) beer of £0.34 per litre. Beer with a strength exceeding 2.8% vol. but not exceeding 4.9% vol the rate is £0.69 per litre; beer exceeding 4.9% vol. is taxed at a rate of £1.28 per litre. Guernsey applies a rate of £0.55 per litre to beer or cider exceeding 1.2% vol but not exceeding 2.8% vol; £0.88 per litre to beer exceeding 2.8% ABV but not exceeding 4.9% ABV; £1.11 per litre exceeding 4.9% ABV but not exceeding 7.5% ABV; £1.28 per litre for beer exceeding 7.5% ABV. The rate on Beer/Cider exceeding 1.2% ABV but not exceeding 2.8%
ABV and produced by a small independent brewery/producer is £0.26, that on Beer/Cider exceeding 2.8% ABV but not exceeding 4.9% ABV and produced by a small independent brewery/producer is £0.44, that on Beer/Cider exceeding 4.9% ABV but not exceeding 7.5% ABV and produced by a small independent brewery/producer is £0.56 per liter.
</t>
  </si>
  <si>
    <t>Tables and explanatory notes updated to reflect change the UK's departure from the EU, an increase in alcohol excise duties in Guernsey and a change in the the reduced rate for small distillers in Jersey.</t>
  </si>
  <si>
    <r>
      <t xml:space="preserve">The national currency is the Euro (€).
•  SPIRITS EXCISE: For spirit-based drinks over 1.2% vol and up to 2.8% vol the rate is €3090 per hlpa. </t>
    </r>
    <r>
      <rPr>
        <sz val="9"/>
        <color rgb="FFFF0000"/>
        <rFont val="Calibri"/>
        <family val="2"/>
        <scheme val="minor"/>
      </rPr>
      <t xml:space="preserve">
</t>
    </r>
    <r>
      <rPr>
        <sz val="9"/>
        <rFont val="Calibri"/>
        <family val="2"/>
        <scheme val="minor"/>
      </rPr>
      <t xml:space="preserve">•  INTERMEDIATE PRODUCTS EXCISE: The rate shown applies per hectolitre to intermediate products over 15% and up to 22% vol.  Between 1.2% and 15% the rate is €501 per hl of product. 
•  WINE EXCISE: The rate shown applies to wine above 8% vol and under 15% vol. Over 2.8% to 5.5% the rate is €198 per hl; over 5.5% and up to 8% the rate is €287 per hl. For wines over 15% vol. and no more than 18%, the rate is €421 per hl. The same rates of excise is applied to sparkling wine.
•  BEER EXCISE:  The rate shown applies to beer over 2.8% vol. Beer over 0.5% vol and up to 2.8% vol is subject to a rate of €2,475 per hlpa. The rate is reduced by 10% in the case of beer produced by a brewery, 'juridicially and financially independent from other companies in the same line of business', whose annual production is between 5.5 million and 10  million litres per annum;  the discount is 20% between 3 million and 5.5 million litres, 30%  between 500,000 litres and 3 million litres, and 50% for maximum production of no more than 500,000 litres per annum. 
•  ADDITIONAL TAXES: (Eco) Tax on bottles not registered to a functioning deposit-based return scheme : 51 cents per litre of packaged beverage (or pro rata). A package that has been registered to a functioning deposit-based return system and is refillable or recoverable as a raw material (including glass, PET and aluminium cans) is tax-free. 
</t>
    </r>
  </si>
  <si>
    <t xml:space="preserve">The national currency is the Euro (€).
•  SPIRITS EXCISE:  A reduced rate, 54% (€648 per hlpa) of the standard rate, applies on the output of farm distilleries (less than 4 hlpa a year) and small commercial distilleries (max 1 hlpa a year) when sold direct to consumers/restaurants.  For small distilleries' output between 1-2 hlpa a reduced rate of  90% of the standard rate (€1,080 per hlpa) applies.
•  WINE EXCISE:  In July 2020 the excise rate on sparkling wine was abolished.
•  BEER EXCISE:  The beer rate is levied at €2 per° Plato per hl.  At 5% (12.5° Plato) the rate equates to €25 per hl. Reduced rates of tax on beer are applied to small independent breweries (with production ≤50,000 hl).
•  VAT:  See 'General' note above. 
</t>
  </si>
  <si>
    <t xml:space="preserve">Explanatory notes updated to reflect abolishment of excise rate on sparkling wine. </t>
  </si>
  <si>
    <t>BULGARIA</t>
  </si>
  <si>
    <t xml:space="preserve">The national currency is the Bulgarian Leva (BGL) which is pegged to the Euro.
•  SPIRITS EXCISE:  The rate is BGL1100 per hlpa on products above 15% vol. Since 1 January 2007, a reduced excise rate of 50% of the usual rate for home production of spirits has applied to small distillers who produce less than 30 litres per year.
•  INTERMEDIATE PRODUCTS EXCISE:  There  is an exemption for personal production up to 400 litres per year.
•  BEER EXCISE: Beer is subject to an excise tax of BGL1.50 per hl per degree Plato.  At a notional strength of 5% vol (12.5º Plato), the rate is equivalent to BGL18.75  per hl.
•  ADDITIONAL TAXES: Eco-Tax on packaging materials levied according to weight and type of material e.g. from 1/1/2021, excl. VAT: glass BGL 0.185 per kg; cardboard BGL 0.160 per kg.
• New as of 1 AUG 2020 untill 31 DEC 2021 - VAT reduced rate 9% for beer and wine in HoReCa; for END-CONSUMERS charge only.
</t>
  </si>
  <si>
    <t>Explanatory notes updated to reflect changes in eco-tax on packaging material and reduction in VAT for beer and wine in HoReCa.</t>
  </si>
  <si>
    <t xml:space="preserve">The national currency is the Hungarian Forint (HUF).  
•  SPIRITS EXCISE: Following a CJEU ruling the excise structure was amended in January 2015 to remove the discriminatory two-tier excise structure resulting in a single excise rate of HUF333,385 per hlpa. However, new discrimination was introduced when the so-called ‘health tax’ was extended to include all spirits, applicable according to alcoholic strength, with the exception of certain fruit spirits and bitters. Following Commission infraction proceedings, on 1 January 2019 the illegal exemptions from the health tax were removed and the rates increased by 20% as follows:  Between 1,2%-5%, HUF25 per litre of product; &gt;5%-15%, HUF120 per litre; &gt;15%-25%, HUF360 per litre; &gt;25%-35%, HUF600 per litre; &gt;35%-45%, HUF850 per litre; &gt;45%, HUF1,100 per litre. 
Home distilled palinka is tax exempt; the maximum amount is 86 litres per household. A 'zero' rate applies to hire-distilled palinka (also for  private consumption only) up to 43 lpa; beyond that limit the standard excise rate applies (effective from 01.01.2021). 
•  WINE EXCISE:  Non grape-based wines are subject to excise tax of HUF9,870 per hl. Sparkling wine is taxed at HUF16,460 per hl.
•  ADDITIONAL TAXES:  Packaging is subject to a product fee (formerly an environmental tax) of HUF19 per kg for bottles, corks and labels (paper). The rate for plastic is HUF57 per kg. Bottles that contained spirits are subject to another tax called the reusage fee, calculated according to the bottle size and the amount of the product that is sold in reusable bottles. Strip stamp levy varies according to size - HUF1.96 for 45x12 mm and HUF1.82 for 80x16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</si>
</sst>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_(* #,##0_);_(* \(#,##0\);_(* &quot;-&quot;??_);_(@_)"/>
    <numFmt numFmtId="166" formatCode="0.000"/>
    <numFmt numFmtId="167" formatCode="0.0"/>
    <numFmt numFmtId="168" formatCode="0.00000"/>
    <numFmt numFmtId="169" formatCode="#,##0.0"/>
    <numFmt numFmtId="170" formatCode="0.0%"/>
    <numFmt numFmtId="171" formatCode="#,##0.000"/>
    <numFmt numFmtId="172" formatCode="#,##0.0000"/>
    <numFmt numFmtId="173" formatCode="0.0&quot; : 1&quot;"/>
    <numFmt numFmtId="174" formatCode="0.0&quot;:1&quot;"/>
    <numFmt numFmtId="175" formatCode="_(* #,##0.0_);_(* \(#,##0.0\);_(* &quot;-&quot;??_);_(@_)"/>
    <numFmt numFmtId="176" formatCode="mmm\ \'yy"/>
    <numFmt numFmtId="177" formatCode="\+0.0%;\-0.0%;0.0%"/>
    <numFmt numFmtId="178" formatCode="0&quot; : 1&quot;"/>
  </numFmts>
  <fonts count="30">
    <font>
      <sz val="10"/>
      <name val="Arial"/>
    </font>
    <font>
      <sz val="10"/>
      <name val="Arial"/>
      <family val="2"/>
    </font>
    <font>
      <sz val="10"/>
      <name val="Times New Roman"/>
      <family val="1"/>
    </font>
    <font>
      <i/>
      <sz val="10"/>
      <name val="Times New Roman"/>
      <family val="1"/>
    </font>
    <font>
      <sz val="9"/>
      <name val="Times New Roman"/>
      <family val="1"/>
    </font>
    <font>
      <i/>
      <sz val="9"/>
      <name val="Times New Roman"/>
      <family val="1"/>
    </font>
    <font>
      <sz val="11"/>
      <name val="Times New Roman"/>
      <family val="1"/>
    </font>
    <font>
      <sz val="10"/>
      <name val="Calibri"/>
      <family val="2"/>
      <scheme val="minor"/>
    </font>
    <font>
      <b/>
      <sz val="12"/>
      <color rgb="FF004C99"/>
      <name val="Calibri"/>
      <family val="2"/>
      <scheme val="minor"/>
    </font>
    <font>
      <b/>
      <sz val="11"/>
      <color rgb="FF004C99"/>
      <name val="Calibri"/>
      <family val="2"/>
      <scheme val="minor"/>
    </font>
    <font>
      <b/>
      <sz val="10"/>
      <color rgb="FFC00000"/>
      <name val="Calibri"/>
      <family val="2"/>
      <scheme val="minor"/>
    </font>
    <font>
      <sz val="9"/>
      <name val="Calibri"/>
      <family val="2"/>
      <scheme val="minor"/>
    </font>
    <font>
      <b/>
      <sz val="9"/>
      <name val="Calibri"/>
      <family val="2"/>
      <scheme val="minor"/>
    </font>
    <font>
      <i/>
      <sz val="9"/>
      <name val="Calibri"/>
      <family val="2"/>
      <scheme val="minor"/>
    </font>
    <font>
      <b/>
      <u/>
      <sz val="9"/>
      <name val="Calibri"/>
      <family val="2"/>
      <scheme val="minor"/>
    </font>
    <font>
      <b/>
      <sz val="9"/>
      <color rgb="FFC00000"/>
      <name val="Calibri"/>
      <family val="2"/>
      <scheme val="minor"/>
    </font>
    <font>
      <b/>
      <sz val="8"/>
      <color rgb="FFC00000"/>
      <name val="Calibri"/>
      <family val="2"/>
    </font>
    <font>
      <sz val="9"/>
      <color rgb="FFFF0000"/>
      <name val="Calibri"/>
      <family val="2"/>
      <scheme val="minor"/>
    </font>
    <font>
      <sz val="9"/>
      <color indexed="10"/>
      <name val="Calibri"/>
      <family val="2"/>
      <scheme val="minor"/>
    </font>
    <font>
      <i/>
      <sz val="9"/>
      <color rgb="FF004C99"/>
      <name val="Calibri"/>
      <family val="2"/>
      <scheme val="minor"/>
    </font>
    <font>
      <sz val="12"/>
      <name val="Calibri"/>
      <family val="2"/>
      <scheme val="minor"/>
    </font>
    <font>
      <b/>
      <sz val="9"/>
      <name val="Calibri"/>
      <family val="2"/>
    </font>
    <font>
      <sz val="8"/>
      <name val="Calibri"/>
      <family val="2"/>
      <scheme val="minor"/>
    </font>
    <font>
      <i/>
      <sz val="8"/>
      <name val="Calibri"/>
      <family val="2"/>
      <scheme val="minor"/>
    </font>
    <font>
      <sz val="9"/>
      <name val="Calibri"/>
      <family val="2"/>
    </font>
    <font>
      <sz val="10"/>
      <name val="Arial"/>
      <family val="2"/>
    </font>
    <font>
      <b/>
      <sz val="9"/>
      <color rgb="FF3F4D5F"/>
      <name val="RobotoBold"/>
    </font>
    <font>
      <sz val="11"/>
      <name val="Calibri"/>
      <family val="2"/>
    </font>
    <font>
      <b/>
      <sz val="4"/>
      <color rgb="FF3F4D5F"/>
      <name val="RobotoBold"/>
    </font>
    <font>
      <sz val="4"/>
      <color rgb="FF444444"/>
      <name val="Times New Roman"/>
      <family val="1"/>
    </font>
  </fonts>
  <fills count="4">
    <fill>
      <patternFill patternType="none"/>
    </fill>
    <fill>
      <patternFill patternType="gray125"/>
    </fill>
    <fill>
      <patternFill patternType="solid">
        <fgColor theme="9" tint="-0.249977111117893"/>
        <bgColor indexed="64"/>
      </patternFill>
    </fill>
    <fill>
      <patternFill patternType="solid">
        <fgColor rgb="FFFFFF00"/>
        <bgColor indexed="64"/>
      </patternFill>
    </fill>
  </fills>
  <borders count="4">
    <border>
      <left/>
      <right/>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s>
  <cellStyleXfs count="5">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9" fontId="25" fillId="0" borderId="0" applyFont="0" applyFill="0" applyBorder="0" applyAlignment="0" applyProtection="0"/>
  </cellStyleXfs>
  <cellXfs count="242">
    <xf numFmtId="0" fontId="0" fillId="0" borderId="0" xfId="0"/>
    <xf numFmtId="3" fontId="11" fillId="0" borderId="0" xfId="0" applyNumberFormat="1" applyFont="1" applyFill="1" applyBorder="1" applyAlignment="1" applyProtection="1">
      <alignment horizontal="right" vertical="center"/>
      <protection locked="0"/>
    </xf>
    <xf numFmtId="3" fontId="11" fillId="0" borderId="0" xfId="0" applyNumberFormat="1" applyFont="1" applyFill="1" applyBorder="1" applyAlignment="1">
      <alignment horizontal="right" vertical="center"/>
    </xf>
    <xf numFmtId="3" fontId="11" fillId="0" borderId="0" xfId="0" quotePrefix="1" applyNumberFormat="1" applyFont="1" applyFill="1" applyBorder="1" applyAlignment="1" applyProtection="1">
      <alignment horizontal="right" vertical="center"/>
      <protection locked="0"/>
    </xf>
    <xf numFmtId="3" fontId="11" fillId="0" borderId="0" xfId="0" quotePrefix="1"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4" fontId="11" fillId="0" borderId="0" xfId="0" quotePrefix="1" applyNumberFormat="1" applyFont="1" applyFill="1" applyBorder="1" applyAlignment="1" applyProtection="1">
      <alignment horizontal="right" vertical="center"/>
      <protection locked="0"/>
    </xf>
    <xf numFmtId="49" fontId="14" fillId="0" borderId="0" xfId="1" applyNumberFormat="1" applyFont="1" applyBorder="1" applyAlignment="1">
      <alignment horizontal="left" vertical="center"/>
    </xf>
    <xf numFmtId="3" fontId="12"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6" fillId="0" borderId="0" xfId="2" applyFont="1" applyAlignment="1">
      <alignment wrapText="1"/>
    </xf>
    <xf numFmtId="0" fontId="2" fillId="0" borderId="0" xfId="2" applyFont="1" applyAlignment="1">
      <alignment wrapText="1"/>
    </xf>
    <xf numFmtId="0" fontId="3" fillId="0" borderId="0" xfId="2" applyFont="1" applyAlignment="1">
      <alignment wrapText="1"/>
    </xf>
    <xf numFmtId="0" fontId="4" fillId="0" borderId="0" xfId="2" applyFont="1" applyAlignment="1">
      <alignment wrapText="1"/>
    </xf>
    <xf numFmtId="0" fontId="11" fillId="0" borderId="0" xfId="2" applyFont="1" applyAlignment="1">
      <alignment vertical="top" wrapText="1"/>
    </xf>
    <xf numFmtId="0" fontId="11" fillId="0" borderId="0" xfId="2" applyFont="1" applyAlignment="1">
      <alignment wrapText="1"/>
    </xf>
    <xf numFmtId="0" fontId="11" fillId="0" borderId="0" xfId="2" applyFont="1" applyAlignment="1">
      <alignment horizontal="left" vertical="top" wrapText="1"/>
    </xf>
    <xf numFmtId="0" fontId="11" fillId="0" borderId="0" xfId="2" applyFont="1" applyAlignment="1">
      <alignment horizontal="left" wrapText="1"/>
    </xf>
    <xf numFmtId="0" fontId="18" fillId="0" borderId="0" xfId="2" applyFont="1" applyAlignment="1">
      <alignment wrapText="1"/>
    </xf>
    <xf numFmtId="0" fontId="11" fillId="0" borderId="0" xfId="2" applyFont="1" applyAlignment="1" applyProtection="1">
      <alignment wrapText="1"/>
      <protection locked="0"/>
    </xf>
    <xf numFmtId="0" fontId="11" fillId="2" borderId="0" xfId="2" applyFont="1" applyFill="1" applyAlignment="1">
      <alignment horizontal="left" vertical="top" wrapText="1"/>
    </xf>
    <xf numFmtId="0" fontId="4" fillId="0" borderId="0" xfId="2" applyFont="1" applyFill="1" applyAlignment="1">
      <alignment wrapText="1"/>
    </xf>
    <xf numFmtId="0" fontId="2" fillId="0" borderId="0" xfId="2" applyFont="1" applyAlignment="1">
      <alignment horizontal="left" wrapText="1"/>
    </xf>
    <xf numFmtId="0" fontId="19" fillId="0" borderId="0" xfId="2" applyFont="1" applyAlignment="1">
      <alignment horizontal="center" vertical="top" wrapText="1"/>
    </xf>
    <xf numFmtId="0" fontId="13" fillId="0" borderId="0" xfId="2" applyFont="1" applyAlignment="1">
      <alignment wrapText="1"/>
    </xf>
    <xf numFmtId="0" fontId="13" fillId="0" borderId="0" xfId="2" applyFont="1" applyAlignment="1">
      <alignment vertical="top" wrapText="1"/>
    </xf>
    <xf numFmtId="0" fontId="5" fillId="0" borderId="0" xfId="2" applyFont="1" applyAlignment="1">
      <alignment wrapText="1"/>
    </xf>
    <xf numFmtId="0" fontId="12" fillId="0" borderId="0" xfId="2" applyFont="1" applyFill="1" applyAlignment="1">
      <alignment horizontal="left" wrapText="1"/>
    </xf>
    <xf numFmtId="0" fontId="12" fillId="2" borderId="0" xfId="2" applyFont="1" applyFill="1" applyAlignment="1">
      <alignment horizontal="left" vertical="top" wrapText="1"/>
    </xf>
    <xf numFmtId="49" fontId="8" fillId="0" borderId="0" xfId="2" applyNumberFormat="1" applyFont="1" applyBorder="1" applyAlignment="1">
      <alignment horizontal="center" vertical="center" wrapText="1"/>
    </xf>
    <xf numFmtId="0" fontId="4" fillId="0" borderId="0" xfId="2" applyFont="1" applyBorder="1"/>
    <xf numFmtId="0" fontId="10" fillId="0" borderId="0" xfId="2" applyFont="1" applyBorder="1" applyAlignment="1">
      <alignment horizontal="center" vertical="center" wrapText="1"/>
    </xf>
    <xf numFmtId="49" fontId="7" fillId="0" borderId="0" xfId="2" applyNumberFormat="1" applyFont="1" applyBorder="1" applyAlignment="1">
      <alignment horizontal="left" vertical="center"/>
    </xf>
    <xf numFmtId="0" fontId="7" fillId="0" borderId="0" xfId="2" applyFont="1" applyBorder="1"/>
    <xf numFmtId="0" fontId="2" fillId="0" borderId="0" xfId="2" applyFont="1" applyBorder="1"/>
    <xf numFmtId="49" fontId="12" fillId="0" borderId="0" xfId="2" applyNumberFormat="1" applyFont="1" applyBorder="1" applyAlignment="1">
      <alignment horizontal="left" vertical="center"/>
    </xf>
    <xf numFmtId="0" fontId="12" fillId="0" borderId="0" xfId="2" applyFont="1" applyBorder="1" applyAlignment="1">
      <alignment horizontal="right" vertical="center"/>
    </xf>
    <xf numFmtId="0" fontId="12" fillId="0" borderId="0" xfId="2" applyFont="1" applyBorder="1" applyAlignment="1">
      <alignment horizontal="right"/>
    </xf>
    <xf numFmtId="0" fontId="12" fillId="0" borderId="0" xfId="2" applyFont="1" applyBorder="1"/>
    <xf numFmtId="0" fontId="12" fillId="0" borderId="3" xfId="2" quotePrefix="1" applyFont="1" applyBorder="1" applyAlignment="1" applyProtection="1">
      <alignment horizontal="center" vertical="center" wrapText="1"/>
      <protection locked="0"/>
    </xf>
    <xf numFmtId="49" fontId="11" fillId="0" borderId="0" xfId="2" applyNumberFormat="1" applyFont="1" applyBorder="1" applyAlignment="1" applyProtection="1">
      <alignment horizontal="center" vertical="center" wrapText="1"/>
      <protection locked="0"/>
    </xf>
    <xf numFmtId="0" fontId="11" fillId="0" borderId="0" xfId="2" applyFont="1" applyBorder="1" applyAlignment="1">
      <alignment horizontal="center" wrapText="1"/>
    </xf>
    <xf numFmtId="0" fontId="11" fillId="0" borderId="2" xfId="2" applyFont="1" applyBorder="1" applyAlignment="1">
      <alignment horizontal="center" vertical="center" wrapText="1"/>
    </xf>
    <xf numFmtId="0" fontId="11" fillId="0" borderId="0" xfId="2" quotePrefix="1" applyFont="1" applyBorder="1" applyAlignment="1" applyProtection="1">
      <alignment horizontal="center" vertical="center" wrapText="1"/>
      <protection locked="0"/>
    </xf>
    <xf numFmtId="0" fontId="11" fillId="0" borderId="1" xfId="2" applyNumberFormat="1" applyFont="1" applyBorder="1" applyAlignment="1">
      <alignment horizontal="center" vertical="center" wrapText="1"/>
    </xf>
    <xf numFmtId="0" fontId="11" fillId="0" borderId="0" xfId="2" applyNumberFormat="1" applyFont="1" applyBorder="1" applyAlignment="1">
      <alignment horizontal="center" vertical="center" wrapText="1"/>
    </xf>
    <xf numFmtId="0" fontId="11" fillId="0" borderId="3" xfId="2" applyFont="1" applyBorder="1" applyAlignment="1">
      <alignment horizontal="center" vertical="center" wrapText="1"/>
    </xf>
    <xf numFmtId="0" fontId="22" fillId="0" borderId="0" xfId="2" applyFont="1" applyBorder="1"/>
    <xf numFmtId="0" fontId="22" fillId="0" borderId="2" xfId="2" applyFont="1" applyBorder="1" applyAlignment="1">
      <alignment horizontal="center" vertical="center"/>
    </xf>
    <xf numFmtId="14" fontId="22" fillId="0" borderId="0" xfId="2" quotePrefix="1" applyNumberFormat="1" applyFont="1" applyBorder="1" applyAlignment="1" applyProtection="1">
      <alignment horizontal="center" vertical="center"/>
      <protection locked="0"/>
    </xf>
    <xf numFmtId="0" fontId="22" fillId="0" borderId="1" xfId="2" quotePrefix="1" applyNumberFormat="1" applyFont="1" applyBorder="1" applyAlignment="1">
      <alignment horizontal="center" vertical="center"/>
    </xf>
    <xf numFmtId="0" fontId="22" fillId="0" borderId="0" xfId="2" quotePrefix="1" applyNumberFormat="1" applyFont="1" applyBorder="1" applyAlignment="1">
      <alignment horizontal="center" vertical="center"/>
    </xf>
    <xf numFmtId="0" fontId="22" fillId="0" borderId="3" xfId="2" applyNumberFormat="1" applyFont="1" applyBorder="1" applyAlignment="1">
      <alignment horizontal="center" vertical="center"/>
    </xf>
    <xf numFmtId="0" fontId="23" fillId="0" borderId="0" xfId="2" quotePrefix="1" applyFont="1" applyBorder="1" applyAlignment="1" applyProtection="1">
      <alignment horizontal="right" vertical="center"/>
      <protection locked="0"/>
    </xf>
    <xf numFmtId="0" fontId="11" fillId="0" borderId="0" xfId="2" applyFont="1" applyBorder="1"/>
    <xf numFmtId="0" fontId="11" fillId="0" borderId="2" xfId="2" applyFont="1" applyBorder="1" applyAlignment="1">
      <alignment horizontal="center" vertical="center"/>
    </xf>
    <xf numFmtId="14" fontId="11" fillId="0" borderId="0" xfId="2" quotePrefix="1" applyNumberFormat="1" applyFont="1" applyBorder="1" applyAlignment="1" applyProtection="1">
      <alignment horizontal="center" vertical="center"/>
      <protection locked="0"/>
    </xf>
    <xf numFmtId="0" fontId="11" fillId="0" borderId="1" xfId="2" quotePrefix="1" applyNumberFormat="1" applyFont="1" applyBorder="1" applyAlignment="1">
      <alignment horizontal="center" vertical="center"/>
    </xf>
    <xf numFmtId="0" fontId="11" fillId="0" borderId="0" xfId="2" quotePrefix="1" applyNumberFormat="1" applyFont="1" applyBorder="1" applyAlignment="1">
      <alignment horizontal="center" vertical="center"/>
    </xf>
    <xf numFmtId="0" fontId="11" fillId="0" borderId="3" xfId="2" applyNumberFormat="1" applyFont="1" applyBorder="1" applyAlignment="1">
      <alignment horizontal="center" vertical="center"/>
    </xf>
    <xf numFmtId="0" fontId="13" fillId="0" borderId="0" xfId="2" quotePrefix="1" applyFont="1" applyBorder="1" applyAlignment="1" applyProtection="1">
      <alignment horizontal="right" vertical="center"/>
      <protection locked="0"/>
    </xf>
    <xf numFmtId="0" fontId="12" fillId="0" borderId="0" xfId="2" applyFont="1" applyBorder="1" applyAlignment="1">
      <alignment horizontal="center" vertical="center"/>
    </xf>
    <xf numFmtId="3" fontId="11" fillId="0" borderId="0" xfId="2" applyNumberFormat="1" applyFont="1" applyBorder="1"/>
    <xf numFmtId="0" fontId="11" fillId="0" borderId="0" xfId="2" applyFont="1" applyBorder="1" applyAlignment="1">
      <alignment horizontal="right" vertical="center"/>
    </xf>
    <xf numFmtId="3" fontId="11" fillId="0" borderId="0" xfId="2" applyNumberFormat="1" applyFont="1" applyFill="1" applyBorder="1" applyAlignment="1" applyProtection="1">
      <alignment horizontal="right" vertical="center"/>
      <protection locked="0"/>
    </xf>
    <xf numFmtId="3" fontId="11" fillId="0" borderId="0" xfId="2" applyNumberFormat="1" applyFont="1" applyFill="1" applyBorder="1" applyAlignment="1">
      <alignment horizontal="right" vertical="center"/>
    </xf>
    <xf numFmtId="4" fontId="11" fillId="0" borderId="0" xfId="2" applyNumberFormat="1" applyFont="1" applyFill="1" applyBorder="1" applyAlignment="1">
      <alignment horizontal="right" vertical="center"/>
    </xf>
    <xf numFmtId="0" fontId="11" fillId="0" borderId="0" xfId="2" applyFont="1" applyFill="1" applyBorder="1" applyAlignment="1">
      <alignment horizontal="right" vertical="center"/>
    </xf>
    <xf numFmtId="49" fontId="11" fillId="0" borderId="0" xfId="2" applyNumberFormat="1" applyFont="1" applyBorder="1" applyAlignment="1">
      <alignment horizontal="left" vertical="center"/>
    </xf>
    <xf numFmtId="169" fontId="11" fillId="0" borderId="0" xfId="2" applyNumberFormat="1" applyFont="1" applyFill="1" applyBorder="1" applyAlignment="1">
      <alignment horizontal="right" vertical="center"/>
    </xf>
    <xf numFmtId="0" fontId="11" fillId="0" borderId="0" xfId="2" applyFont="1" applyBorder="1" applyAlignment="1">
      <alignment horizontal="left" vertical="center"/>
    </xf>
    <xf numFmtId="165" fontId="11" fillId="0" borderId="0" xfId="1" applyNumberFormat="1" applyFont="1" applyBorder="1" applyAlignment="1">
      <alignment vertical="center"/>
    </xf>
    <xf numFmtId="0" fontId="11" fillId="0" borderId="0" xfId="2" applyFont="1" applyBorder="1" applyAlignment="1">
      <alignment horizontal="center"/>
    </xf>
    <xf numFmtId="49" fontId="22" fillId="0" borderId="0" xfId="2" applyNumberFormat="1" applyFont="1" applyBorder="1" applyAlignment="1">
      <alignment horizontal="left" vertical="center"/>
    </xf>
    <xf numFmtId="9" fontId="11" fillId="0" borderId="0" xfId="2" applyNumberFormat="1" applyFont="1" applyBorder="1" applyAlignment="1">
      <alignment horizontal="right" vertical="center"/>
    </xf>
    <xf numFmtId="170" fontId="11" fillId="0" borderId="0" xfId="2" applyNumberFormat="1" applyFont="1" applyBorder="1" applyAlignment="1">
      <alignment horizontal="right" vertical="center"/>
    </xf>
    <xf numFmtId="0" fontId="11" fillId="0" borderId="0" xfId="2" applyFont="1" applyBorder="1" applyAlignment="1">
      <alignment horizontal="right" vertical="center" wrapText="1"/>
    </xf>
    <xf numFmtId="0" fontId="4" fillId="0" borderId="0" xfId="2" applyFont="1"/>
    <xf numFmtId="0" fontId="4" fillId="0" borderId="0" xfId="2" applyFont="1" applyBorder="1" applyAlignment="1">
      <alignment horizontal="center"/>
    </xf>
    <xf numFmtId="0" fontId="2" fillId="0" borderId="0" xfId="2" applyFont="1"/>
    <xf numFmtId="49" fontId="12" fillId="2" borderId="0" xfId="2" applyNumberFormat="1" applyFont="1" applyFill="1" applyAlignment="1">
      <alignment horizontal="left" vertical="center" wrapText="1"/>
    </xf>
    <xf numFmtId="0" fontId="12" fillId="0" borderId="0" xfId="2" applyFont="1" applyBorder="1" applyAlignment="1">
      <alignment horizontal="left" vertical="top" wrapText="1"/>
    </xf>
    <xf numFmtId="165" fontId="11" fillId="0" borderId="2" xfId="1" applyNumberFormat="1" applyFont="1" applyFill="1" applyBorder="1" applyAlignment="1">
      <alignment vertical="center"/>
    </xf>
    <xf numFmtId="176" fontId="11" fillId="0" borderId="0" xfId="2" applyNumberFormat="1" applyFont="1" applyFill="1" applyBorder="1" applyAlignment="1">
      <alignment horizontal="center" vertical="center"/>
    </xf>
    <xf numFmtId="176" fontId="11" fillId="0" borderId="0" xfId="2" applyNumberFormat="1" applyFont="1" applyFill="1" applyBorder="1" applyAlignment="1" applyProtection="1">
      <alignment horizontal="center" vertical="center"/>
      <protection locked="0"/>
    </xf>
    <xf numFmtId="9" fontId="11" fillId="0" borderId="3" xfId="2" applyNumberFormat="1" applyFont="1" applyFill="1" applyBorder="1" applyAlignment="1">
      <alignment horizontal="center" vertical="center"/>
    </xf>
    <xf numFmtId="177" fontId="11" fillId="0" borderId="1" xfId="3" applyNumberFormat="1" applyFont="1" applyFill="1" applyBorder="1" applyAlignment="1">
      <alignment horizontal="centerContinuous" vertical="center" wrapText="1"/>
    </xf>
    <xf numFmtId="2" fontId="11" fillId="0" borderId="0" xfId="2" quotePrefix="1" applyNumberFormat="1" applyFont="1" applyFill="1" applyBorder="1" applyAlignment="1" applyProtection="1">
      <alignment horizontal="right" vertical="center"/>
      <protection locked="0"/>
    </xf>
    <xf numFmtId="0" fontId="11" fillId="0" borderId="0" xfId="2" quotePrefix="1" applyFont="1" applyFill="1" applyBorder="1" applyAlignment="1" applyProtection="1">
      <alignment horizontal="right" vertical="center"/>
      <protection locked="0"/>
    </xf>
    <xf numFmtId="0" fontId="11" fillId="0" borderId="0" xfId="2" applyFont="1" applyFill="1" applyBorder="1"/>
    <xf numFmtId="1" fontId="11" fillId="0" borderId="0" xfId="2" applyNumberFormat="1" applyFont="1" applyFill="1" applyBorder="1" applyAlignment="1" applyProtection="1">
      <alignment horizontal="right" vertical="center"/>
      <protection locked="0"/>
    </xf>
    <xf numFmtId="0" fontId="11" fillId="0" borderId="0" xfId="2" applyFont="1" applyFill="1" applyBorder="1" applyAlignment="1" applyProtection="1">
      <alignment horizontal="right" vertical="center"/>
      <protection locked="0"/>
    </xf>
    <xf numFmtId="169" fontId="11" fillId="0" borderId="0" xfId="2" applyNumberFormat="1" applyFont="1" applyFill="1" applyBorder="1" applyAlignment="1" applyProtection="1">
      <alignment horizontal="right" vertical="center"/>
      <protection locked="0"/>
    </xf>
    <xf numFmtId="49" fontId="11" fillId="0" borderId="0" xfId="2" applyNumberFormat="1" applyFont="1" applyFill="1" applyBorder="1" applyAlignment="1">
      <alignment horizontal="left" vertical="center"/>
    </xf>
    <xf numFmtId="171" fontId="11" fillId="0" borderId="0" xfId="2" quotePrefix="1" applyNumberFormat="1" applyFont="1" applyFill="1" applyBorder="1" applyAlignment="1" applyProtection="1">
      <alignment horizontal="right" vertical="center"/>
      <protection locked="0"/>
    </xf>
    <xf numFmtId="3" fontId="11" fillId="0" borderId="2" xfId="2" applyNumberFormat="1" applyFont="1" applyFill="1" applyBorder="1" applyAlignment="1">
      <alignment horizontal="right" vertical="center"/>
    </xf>
    <xf numFmtId="9" fontId="11" fillId="0" borderId="3" xfId="4" applyFont="1" applyFill="1" applyBorder="1" applyAlignment="1">
      <alignment horizontal="center" vertical="center"/>
    </xf>
    <xf numFmtId="0" fontId="1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1" fillId="0" borderId="0" xfId="2" applyFont="1" applyFill="1" applyBorder="1" applyAlignment="1">
      <alignment vertical="center"/>
    </xf>
    <xf numFmtId="177" fontId="11" fillId="0" borderId="0" xfId="2" applyNumberFormat="1" applyFont="1" applyFill="1" applyBorder="1" applyAlignment="1">
      <alignment horizontal="center" vertical="center"/>
    </xf>
    <xf numFmtId="177" fontId="11" fillId="0" borderId="1" xfId="2" applyNumberFormat="1" applyFont="1" applyFill="1" applyBorder="1" applyAlignment="1">
      <alignment horizontal="center" vertical="center"/>
    </xf>
    <xf numFmtId="49" fontId="12" fillId="0" borderId="0" xfId="2" applyNumberFormat="1" applyFont="1" applyFill="1" applyBorder="1" applyAlignment="1">
      <alignment horizontal="left" vertical="center"/>
    </xf>
    <xf numFmtId="9" fontId="11" fillId="0" borderId="3" xfId="4" applyNumberFormat="1" applyFont="1" applyFill="1" applyBorder="1" applyAlignment="1">
      <alignment horizontal="center" vertical="center"/>
    </xf>
    <xf numFmtId="4" fontId="11" fillId="0" borderId="0" xfId="0" quotePrefix="1" applyNumberFormat="1" applyFont="1" applyFill="1" applyBorder="1" applyAlignment="1">
      <alignment horizontal="right" vertical="center"/>
    </xf>
    <xf numFmtId="49" fontId="11" fillId="0" borderId="0" xfId="2" applyNumberFormat="1" applyFont="1" applyAlignment="1">
      <alignment horizontal="left" vertical="top" wrapText="1"/>
    </xf>
    <xf numFmtId="0" fontId="11" fillId="0" borderId="0" xfId="2" applyFont="1" applyAlignment="1">
      <alignment vertical="center" wrapText="1"/>
    </xf>
    <xf numFmtId="0" fontId="11" fillId="0" borderId="0" xfId="2" applyFont="1" applyBorder="1" applyAlignment="1">
      <alignment horizontal="left" vertical="center" wrapText="1"/>
    </xf>
    <xf numFmtId="0" fontId="12" fillId="0" borderId="0" xfId="2" applyFont="1" applyBorder="1" applyAlignment="1">
      <alignment horizontal="left" vertical="center" wrapText="1"/>
    </xf>
    <xf numFmtId="170" fontId="11" fillId="0" borderId="3" xfId="4" applyNumberFormat="1" applyFont="1" applyFill="1" applyBorder="1" applyAlignment="1">
      <alignment horizontal="center" vertical="center"/>
    </xf>
    <xf numFmtId="171" fontId="11" fillId="0" borderId="0" xfId="0" applyNumberFormat="1" applyFont="1" applyFill="1" applyBorder="1" applyAlignment="1">
      <alignment horizontal="right" vertical="center"/>
    </xf>
    <xf numFmtId="165" fontId="11" fillId="0" borderId="0" xfId="1" applyNumberFormat="1" applyFont="1" applyFill="1" applyBorder="1" applyAlignment="1">
      <alignment horizontal="right" vertical="center"/>
    </xf>
    <xf numFmtId="167" fontId="11" fillId="0" borderId="0" xfId="2" applyNumberFormat="1" applyFont="1" applyFill="1" applyBorder="1" applyAlignment="1">
      <alignment horizontal="right" vertical="center"/>
    </xf>
    <xf numFmtId="173" fontId="11" fillId="0" borderId="0" xfId="2" applyNumberFormat="1" applyFont="1" applyFill="1" applyBorder="1" applyAlignment="1">
      <alignment horizontal="right" vertical="center"/>
    </xf>
    <xf numFmtId="0" fontId="11" fillId="0" borderId="0" xfId="0" applyFont="1" applyFill="1" applyBorder="1" applyAlignment="1" applyProtection="1">
      <alignment horizontal="right" vertical="center"/>
      <protection locked="0"/>
    </xf>
    <xf numFmtId="173" fontId="11" fillId="0" borderId="0" xfId="0" applyNumberFormat="1" applyFont="1" applyFill="1" applyBorder="1" applyAlignment="1">
      <alignment horizontal="right" vertical="center"/>
    </xf>
    <xf numFmtId="174" fontId="11" fillId="0" borderId="0" xfId="0" applyNumberFormat="1" applyFont="1" applyFill="1" applyBorder="1" applyAlignment="1">
      <alignment horizontal="right" vertical="center"/>
    </xf>
    <xf numFmtId="0" fontId="3" fillId="0" borderId="0" xfId="2" applyFont="1" applyFill="1" applyAlignment="1">
      <alignment wrapText="1"/>
    </xf>
    <xf numFmtId="0" fontId="11" fillId="0" borderId="0" xfId="2" applyFont="1" applyFill="1" applyAlignment="1">
      <alignment wrapText="1"/>
    </xf>
    <xf numFmtId="0" fontId="11" fillId="0" borderId="0" xfId="2" applyFont="1" applyFill="1" applyAlignment="1">
      <alignment vertical="center" wrapText="1"/>
    </xf>
    <xf numFmtId="0" fontId="13" fillId="0" borderId="0" xfId="2" applyFont="1" applyFill="1" applyAlignment="1">
      <alignment vertical="top" wrapText="1"/>
    </xf>
    <xf numFmtId="0" fontId="11" fillId="0" borderId="0" xfId="2" applyFont="1" applyFill="1" applyAlignment="1">
      <alignment horizontal="left" vertical="top" wrapText="1"/>
    </xf>
    <xf numFmtId="0" fontId="13" fillId="0" borderId="0" xfId="2" applyFont="1" applyFill="1" applyAlignment="1">
      <alignment wrapText="1"/>
    </xf>
    <xf numFmtId="0" fontId="5" fillId="0" borderId="0" xfId="2" applyFont="1" applyFill="1" applyAlignment="1">
      <alignment wrapText="1"/>
    </xf>
    <xf numFmtId="0" fontId="2" fillId="0" borderId="0" xfId="2" applyFont="1" applyFill="1" applyAlignment="1">
      <alignment wrapText="1"/>
    </xf>
    <xf numFmtId="0" fontId="20" fillId="0" borderId="0" xfId="0" applyFont="1" applyAlignment="1">
      <alignment wrapText="1"/>
    </xf>
    <xf numFmtId="3" fontId="12" fillId="0" borderId="0" xfId="1" applyNumberFormat="1" applyFont="1" applyFill="1" applyBorder="1" applyAlignment="1">
      <alignment horizontal="right" vertical="center"/>
    </xf>
    <xf numFmtId="0" fontId="12" fillId="0" borderId="0" xfId="2" applyFont="1" applyFill="1" applyBorder="1"/>
    <xf numFmtId="9" fontId="11" fillId="0" borderId="0" xfId="2" applyNumberFormat="1" applyFont="1" applyFill="1" applyBorder="1" applyAlignment="1">
      <alignment horizontal="center" vertical="center"/>
    </xf>
    <xf numFmtId="4" fontId="11" fillId="0" borderId="0" xfId="2" applyNumberFormat="1" applyFont="1" applyFill="1" applyBorder="1" applyAlignment="1" applyProtection="1">
      <alignment horizontal="right" vertical="center"/>
      <protection locked="0"/>
    </xf>
    <xf numFmtId="0" fontId="11" fillId="0" borderId="0" xfId="0" applyFont="1"/>
    <xf numFmtId="165" fontId="11" fillId="3" borderId="2" xfId="1" applyNumberFormat="1" applyFont="1" applyFill="1" applyBorder="1" applyAlignment="1">
      <alignment vertical="center"/>
    </xf>
    <xf numFmtId="176" fontId="11" fillId="3" borderId="0" xfId="2" applyNumberFormat="1" applyFont="1" applyFill="1" applyBorder="1" applyAlignment="1">
      <alignment horizontal="center" vertical="center"/>
    </xf>
    <xf numFmtId="177" fontId="11" fillId="3" borderId="1" xfId="3" applyNumberFormat="1" applyFont="1" applyFill="1" applyBorder="1" applyAlignment="1">
      <alignment horizontal="centerContinuous" vertical="center" wrapText="1"/>
    </xf>
    <xf numFmtId="0" fontId="11" fillId="0" borderId="0" xfId="0" applyFont="1" applyAlignment="1">
      <alignment wrapText="1"/>
    </xf>
    <xf numFmtId="3" fontId="11" fillId="3" borderId="2" xfId="2" applyNumberFormat="1" applyFont="1" applyFill="1" applyBorder="1" applyAlignment="1">
      <alignment horizontal="right" vertical="center"/>
    </xf>
    <xf numFmtId="9" fontId="11" fillId="3" borderId="3" xfId="2" applyNumberFormat="1" applyFont="1" applyFill="1" applyBorder="1" applyAlignment="1">
      <alignment horizontal="center" vertical="center"/>
    </xf>
    <xf numFmtId="0" fontId="11" fillId="3" borderId="0" xfId="2" applyFont="1" applyFill="1" applyBorder="1" applyAlignment="1">
      <alignment vertical="center"/>
    </xf>
    <xf numFmtId="0" fontId="11" fillId="3" borderId="0" xfId="2" applyFont="1" applyFill="1" applyBorder="1" applyAlignment="1">
      <alignment horizontal="left" vertical="center"/>
    </xf>
    <xf numFmtId="0" fontId="11" fillId="0" borderId="0" xfId="0" applyFont="1" applyFill="1"/>
    <xf numFmtId="49" fontId="11" fillId="0" borderId="0" xfId="2" applyNumberFormat="1" applyFont="1" applyFill="1" applyAlignment="1">
      <alignment horizontal="left" vertical="top" wrapText="1"/>
    </xf>
    <xf numFmtId="9" fontId="11"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17" fillId="0" borderId="0" xfId="0" applyFont="1" applyFill="1" applyBorder="1" applyAlignment="1">
      <alignment horizontal="right" vertical="center"/>
    </xf>
    <xf numFmtId="167" fontId="11" fillId="0" borderId="0" xfId="0" applyNumberFormat="1" applyFont="1" applyFill="1" applyBorder="1" applyAlignment="1">
      <alignment horizontal="right" vertical="center"/>
    </xf>
    <xf numFmtId="0" fontId="11" fillId="0" borderId="0" xfId="0" applyFont="1" applyFill="1" applyBorder="1" applyAlignment="1">
      <alignment horizontal="center"/>
    </xf>
    <xf numFmtId="0" fontId="20" fillId="0" borderId="0" xfId="0" applyFont="1" applyAlignment="1">
      <alignment wrapText="1"/>
    </xf>
    <xf numFmtId="4" fontId="11" fillId="0" borderId="0" xfId="2" applyNumberFormat="1" applyFont="1" applyBorder="1" applyAlignment="1">
      <alignment horizontal="right" vertical="center"/>
    </xf>
    <xf numFmtId="0" fontId="12" fillId="0" borderId="0" xfId="2" applyFont="1" applyBorder="1" applyAlignment="1">
      <alignment horizontal="left" vertical="center"/>
    </xf>
    <xf numFmtId="0" fontId="4" fillId="0" borderId="0" xfId="0" applyFont="1" applyFill="1" applyBorder="1"/>
    <xf numFmtId="49" fontId="7" fillId="0" borderId="0" xfId="0" applyNumberFormat="1" applyFont="1" applyFill="1" applyBorder="1" applyAlignment="1">
      <alignment horizontal="left" vertical="center"/>
    </xf>
    <xf numFmtId="0" fontId="7" fillId="0" borderId="0" xfId="0" applyFont="1" applyFill="1" applyBorder="1"/>
    <xf numFmtId="0" fontId="2" fillId="0" borderId="0" xfId="0" applyFont="1" applyFill="1" applyBorder="1"/>
    <xf numFmtId="49" fontId="12" fillId="0" borderId="0" xfId="0" applyNumberFormat="1" applyFont="1" applyFill="1" applyBorder="1" applyAlignment="1">
      <alignment horizontal="left" vertical="center"/>
    </xf>
    <xf numFmtId="0" fontId="12" fillId="0" borderId="0" xfId="0" applyFont="1" applyFill="1" applyBorder="1" applyAlignment="1">
      <alignment horizontal="right"/>
    </xf>
    <xf numFmtId="0" fontId="12" fillId="0" borderId="0" xfId="0" applyFont="1" applyFill="1" applyBorder="1"/>
    <xf numFmtId="0" fontId="11" fillId="0" borderId="0" xfId="0" quotePrefix="1" applyFont="1" applyFill="1"/>
    <xf numFmtId="49" fontId="11" fillId="0" borderId="0" xfId="0" applyNumberFormat="1" applyFont="1" applyFill="1" applyBorder="1" applyAlignment="1">
      <alignment horizontal="left" vertical="center"/>
    </xf>
    <xf numFmtId="0" fontId="13" fillId="0" borderId="0" xfId="0" quotePrefix="1" applyFont="1" applyFill="1" applyBorder="1" applyAlignment="1" applyProtection="1">
      <alignment horizontal="right" vertical="center"/>
      <protection locked="0"/>
    </xf>
    <xf numFmtId="0"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4" fontId="13" fillId="0" borderId="0" xfId="0" quotePrefix="1"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right" vertical="center"/>
      <protection locked="0"/>
    </xf>
    <xf numFmtId="0" fontId="11" fillId="0" borderId="0" xfId="0" applyFont="1" applyFill="1" applyBorder="1"/>
    <xf numFmtId="49" fontId="14" fillId="0" borderId="0" xfId="0" applyNumberFormat="1" applyFont="1" applyFill="1" applyBorder="1" applyAlignment="1">
      <alignment horizontal="left" vertical="center"/>
    </xf>
    <xf numFmtId="172" fontId="11" fillId="0" borderId="0" xfId="0" applyNumberFormat="1" applyFont="1" applyFill="1" applyBorder="1" applyAlignment="1">
      <alignment horizontal="right" vertical="center"/>
    </xf>
    <xf numFmtId="3" fontId="29" fillId="0" borderId="0" xfId="0" applyNumberFormat="1" applyFont="1" applyFill="1"/>
    <xf numFmtId="0" fontId="11" fillId="0" borderId="0" xfId="0" applyFont="1" applyFill="1" applyBorder="1" applyAlignment="1">
      <alignment horizontal="right" vertical="center" wrapText="1"/>
    </xf>
    <xf numFmtId="0" fontId="26" fillId="0" borderId="0" xfId="0" applyFont="1" applyFill="1"/>
    <xf numFmtId="2" fontId="28" fillId="0" borderId="0" xfId="0" applyNumberFormat="1" applyFont="1" applyFill="1"/>
    <xf numFmtId="3" fontId="27" fillId="0" borderId="0" xfId="0" applyNumberFormat="1" applyFont="1" applyFill="1"/>
    <xf numFmtId="3" fontId="12" fillId="0" borderId="0" xfId="0" applyNumberFormat="1" applyFont="1" applyFill="1" applyBorder="1" applyAlignment="1" applyProtection="1">
      <alignment horizontal="right" vertical="center"/>
      <protection locked="0"/>
    </xf>
    <xf numFmtId="4" fontId="12" fillId="0" borderId="0" xfId="0" applyNumberFormat="1" applyFont="1" applyFill="1" applyBorder="1" applyAlignment="1" applyProtection="1">
      <alignment horizontal="right" vertical="center"/>
      <protection locked="0"/>
    </xf>
    <xf numFmtId="4" fontId="12" fillId="0" borderId="0" xfId="0" applyNumberFormat="1" applyFont="1" applyFill="1" applyBorder="1" applyAlignment="1">
      <alignment horizontal="right" vertical="center"/>
    </xf>
    <xf numFmtId="2" fontId="12" fillId="0" borderId="0" xfId="0" applyNumberFormat="1" applyFont="1" applyFill="1" applyBorder="1" applyAlignment="1" applyProtection="1">
      <alignment horizontal="right" vertical="center"/>
      <protection locked="0"/>
    </xf>
    <xf numFmtId="1" fontId="11" fillId="0" borderId="0" xfId="0" applyNumberFormat="1" applyFont="1" applyFill="1" applyBorder="1" applyAlignment="1" applyProtection="1">
      <alignment horizontal="right" vertical="center"/>
      <protection locked="0"/>
    </xf>
    <xf numFmtId="3" fontId="11" fillId="0" borderId="0" xfId="1" applyNumberFormat="1" applyFont="1" applyFill="1" applyBorder="1" applyAlignment="1">
      <alignment horizontal="right" vertical="center"/>
    </xf>
    <xf numFmtId="0" fontId="27" fillId="0" borderId="0" xfId="0" applyFont="1" applyFill="1"/>
    <xf numFmtId="4" fontId="11" fillId="0" borderId="0" xfId="0" applyNumberFormat="1" applyFont="1" applyFill="1" applyBorder="1" applyAlignment="1" applyProtection="1">
      <alignment horizontal="right" vertical="center"/>
      <protection locked="0"/>
    </xf>
    <xf numFmtId="169"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protection locked="0"/>
    </xf>
    <xf numFmtId="1" fontId="11" fillId="0" borderId="0" xfId="0" applyNumberFormat="1" applyFont="1" applyFill="1" applyBorder="1" applyAlignment="1">
      <alignment horizontal="right" vertical="center"/>
    </xf>
    <xf numFmtId="167" fontId="11" fillId="0" borderId="0" xfId="0" applyNumberFormat="1" applyFont="1" applyFill="1" applyBorder="1" applyAlignment="1" applyProtection="1">
      <alignment horizontal="right" vertical="center"/>
      <protection locked="0"/>
    </xf>
    <xf numFmtId="3" fontId="12" fillId="0" borderId="0" xfId="0" quotePrefix="1"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46" fontId="11" fillId="0" borderId="0" xfId="0" applyNumberFormat="1" applyFont="1" applyFill="1" applyBorder="1" applyAlignment="1">
      <alignment horizontal="right" vertical="center"/>
    </xf>
    <xf numFmtId="2" fontId="11" fillId="0" borderId="0" xfId="0" quotePrefix="1" applyNumberFormat="1" applyFont="1" applyFill="1" applyBorder="1" applyAlignment="1" applyProtection="1">
      <alignment horizontal="right" vertical="center"/>
      <protection locked="0"/>
    </xf>
    <xf numFmtId="0" fontId="11" fillId="0" borderId="0" xfId="0" quotePrefix="1" applyFont="1" applyFill="1" applyBorder="1" applyAlignment="1" applyProtection="1">
      <alignment horizontal="right" vertical="center"/>
      <protection locked="0"/>
    </xf>
    <xf numFmtId="175" fontId="11" fillId="0" borderId="0" xfId="1" quotePrefix="1" applyNumberFormat="1" applyFont="1" applyFill="1" applyBorder="1" applyAlignment="1" applyProtection="1">
      <alignment horizontal="right" vertical="center"/>
      <protection locked="0"/>
    </xf>
    <xf numFmtId="164" fontId="11" fillId="0" borderId="0" xfId="1" quotePrefix="1" applyNumberFormat="1" applyFont="1" applyFill="1" applyBorder="1" applyAlignment="1" applyProtection="1">
      <alignment horizontal="right" vertical="center"/>
      <protection locked="0"/>
    </xf>
    <xf numFmtId="166" fontId="11" fillId="0" borderId="0" xfId="0" quotePrefix="1" applyNumberFormat="1" applyFont="1" applyFill="1" applyBorder="1" applyAlignment="1" applyProtection="1">
      <alignment horizontal="right" vertical="center"/>
      <protection locked="0"/>
    </xf>
    <xf numFmtId="166" fontId="11" fillId="0" borderId="0" xfId="0" applyNumberFormat="1" applyFont="1" applyFill="1" applyBorder="1" applyAlignment="1" applyProtection="1">
      <alignment horizontal="right" vertical="center"/>
      <protection locked="0"/>
    </xf>
    <xf numFmtId="2" fontId="11" fillId="0" borderId="0" xfId="0" applyNumberFormat="1" applyFont="1" applyFill="1" applyBorder="1" applyAlignment="1">
      <alignment horizontal="right" vertical="center"/>
    </xf>
    <xf numFmtId="168" fontId="11" fillId="0" borderId="0" xfId="0" applyNumberFormat="1" applyFont="1" applyFill="1" applyBorder="1" applyAlignment="1">
      <alignment horizontal="right" vertical="center"/>
    </xf>
    <xf numFmtId="49" fontId="14" fillId="0" borderId="0" xfId="1" applyNumberFormat="1" applyFont="1" applyFill="1" applyBorder="1" applyAlignment="1">
      <alignment horizontal="left" vertical="center"/>
    </xf>
    <xf numFmtId="0" fontId="4" fillId="0" borderId="0" xfId="0" applyFont="1" applyFill="1"/>
    <xf numFmtId="0" fontId="4" fillId="0" borderId="0" xfId="0" applyFont="1" applyFill="1" applyBorder="1" applyAlignment="1">
      <alignment horizontal="center"/>
    </xf>
    <xf numFmtId="0" fontId="2" fillId="0" borderId="0" xfId="0" applyFont="1" applyFill="1"/>
    <xf numFmtId="0" fontId="6" fillId="0" borderId="0" xfId="0" applyFont="1" applyFill="1"/>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xf numFmtId="0" fontId="12" fillId="0" borderId="1" xfId="0" applyFont="1" applyFill="1" applyBorder="1" applyAlignment="1">
      <alignment horizontal="right"/>
    </xf>
    <xf numFmtId="2" fontId="11" fillId="0" borderId="0" xfId="0" quotePrefix="1" applyNumberFormat="1" applyFont="1" applyFill="1"/>
    <xf numFmtId="0" fontId="13" fillId="0" borderId="0" xfId="0" applyFont="1" applyFill="1" applyBorder="1" applyAlignment="1" applyProtection="1">
      <alignment horizontal="left" vertical="center"/>
      <protection locked="0"/>
    </xf>
    <xf numFmtId="0" fontId="13" fillId="0" borderId="1" xfId="0" quotePrefix="1" applyFont="1" applyFill="1" applyBorder="1" applyAlignment="1" applyProtection="1">
      <alignment horizontal="right" vertical="center"/>
      <protection locked="0"/>
    </xf>
    <xf numFmtId="172" fontId="13" fillId="0" borderId="0" xfId="0" applyNumberFormat="1" applyFont="1" applyFill="1" applyBorder="1" applyAlignment="1">
      <alignment horizontal="right" vertical="center"/>
    </xf>
    <xf numFmtId="0" fontId="14" fillId="0" borderId="0"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0" xfId="0" applyFont="1" applyFill="1" applyBorder="1" applyAlignment="1">
      <alignment horizontal="left" vertical="center"/>
    </xf>
    <xf numFmtId="3" fontId="11" fillId="0" borderId="1" xfId="0" applyNumberFormat="1" applyFont="1" applyFill="1" applyBorder="1" applyAlignment="1" applyProtection="1">
      <alignment horizontal="right" vertical="center"/>
      <protection locked="0"/>
    </xf>
    <xf numFmtId="165" fontId="11" fillId="0" borderId="0" xfId="1" applyNumberFormat="1" applyFont="1" applyFill="1"/>
    <xf numFmtId="0" fontId="12" fillId="0" borderId="0" xfId="0" applyFont="1" applyFill="1" applyBorder="1" applyAlignment="1">
      <alignment horizontal="left" vertical="center"/>
    </xf>
    <xf numFmtId="3" fontId="12" fillId="0" borderId="1" xfId="0" applyNumberFormat="1" applyFont="1" applyFill="1" applyBorder="1" applyAlignment="1">
      <alignment horizontal="right" vertical="center"/>
    </xf>
    <xf numFmtId="0" fontId="11" fillId="0" borderId="1" xfId="0" quotePrefix="1" applyFont="1" applyFill="1" applyBorder="1" applyAlignment="1" applyProtection="1">
      <alignment horizontal="right" vertical="center"/>
      <protection locked="0"/>
    </xf>
    <xf numFmtId="3" fontId="11" fillId="0" borderId="1" xfId="0" applyNumberFormat="1" applyFont="1" applyFill="1" applyBorder="1" applyAlignment="1">
      <alignment horizontal="right" vertical="center"/>
    </xf>
    <xf numFmtId="167" fontId="11" fillId="0" borderId="1" xfId="0" applyNumberFormat="1" applyFont="1" applyFill="1" applyBorder="1" applyAlignment="1">
      <alignment horizontal="right" vertical="center"/>
    </xf>
    <xf numFmtId="0" fontId="18" fillId="0" borderId="0" xfId="0" applyFont="1" applyFill="1" applyBorder="1" applyAlignment="1">
      <alignment horizontal="right" vertical="center"/>
    </xf>
    <xf numFmtId="0" fontId="11" fillId="0" borderId="1" xfId="0" applyFont="1" applyFill="1" applyBorder="1" applyAlignment="1" applyProtection="1">
      <alignment horizontal="right" vertical="center"/>
      <protection locked="0"/>
    </xf>
    <xf numFmtId="3" fontId="18" fillId="0" borderId="0" xfId="0" applyNumberFormat="1" applyFont="1" applyFill="1" applyBorder="1" applyAlignment="1">
      <alignment horizontal="right" vertical="center"/>
    </xf>
    <xf numFmtId="172" fontId="12" fillId="0" borderId="0" xfId="0" applyNumberFormat="1" applyFont="1" applyFill="1" applyBorder="1" applyAlignment="1">
      <alignment horizontal="right" vertical="center"/>
    </xf>
    <xf numFmtId="173" fontId="11" fillId="0" borderId="2" xfId="0" applyNumberFormat="1" applyFont="1" applyFill="1" applyBorder="1" applyAlignment="1">
      <alignment horizontal="right" vertical="center"/>
    </xf>
    <xf numFmtId="170" fontId="11" fillId="0" borderId="0" xfId="0" applyNumberFormat="1" applyFont="1" applyFill="1" applyBorder="1" applyAlignment="1">
      <alignment horizontal="right" vertical="center"/>
    </xf>
    <xf numFmtId="9" fontId="11" fillId="0" borderId="1" xfId="0" applyNumberFormat="1" applyFont="1" applyFill="1" applyBorder="1" applyAlignment="1">
      <alignment horizontal="right" vertical="center"/>
    </xf>
    <xf numFmtId="0" fontId="0" fillId="0" borderId="0" xfId="0" applyFill="1"/>
    <xf numFmtId="49" fontId="11" fillId="0" borderId="0" xfId="2" applyNumberFormat="1" applyFont="1" applyFill="1" applyAlignment="1">
      <alignment horizontal="left" vertical="center" wrapText="1"/>
    </xf>
    <xf numFmtId="49" fontId="8"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0" fillId="0" borderId="0" xfId="0" applyFill="1" applyAlignment="1">
      <alignment horizontal="center" vertical="center" wrapText="1"/>
    </xf>
    <xf numFmtId="0" fontId="10"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2" applyNumberFormat="1" applyFont="1" applyBorder="1" applyAlignment="1">
      <alignment horizontal="center" vertical="center" wrapText="1"/>
    </xf>
    <xf numFmtId="0" fontId="1" fillId="0" borderId="0" xfId="2" applyAlignment="1">
      <alignment horizontal="center" vertical="center" wrapText="1"/>
    </xf>
    <xf numFmtId="0" fontId="10" fillId="0" borderId="0" xfId="2" applyFont="1" applyBorder="1" applyAlignment="1">
      <alignment horizontal="center" vertical="center" wrapText="1"/>
    </xf>
    <xf numFmtId="0" fontId="12" fillId="0" borderId="2" xfId="2" applyFont="1" applyBorder="1" applyAlignment="1">
      <alignment horizontal="center" vertical="center"/>
    </xf>
    <xf numFmtId="0" fontId="1" fillId="0" borderId="0" xfId="2" applyBorder="1" applyAlignment="1">
      <alignment horizontal="center" vertical="center"/>
    </xf>
    <xf numFmtId="0" fontId="1" fillId="0" borderId="1" xfId="2" applyBorder="1" applyAlignment="1">
      <alignment horizontal="center" vertical="center"/>
    </xf>
    <xf numFmtId="0" fontId="8" fillId="0" borderId="0" xfId="2" applyFont="1" applyBorder="1" applyAlignment="1" applyProtection="1">
      <alignment horizontal="center" vertical="center" wrapText="1"/>
      <protection locked="0"/>
    </xf>
    <xf numFmtId="0" fontId="0" fillId="0" borderId="0" xfId="0" applyAlignment="1">
      <alignment wrapText="1"/>
    </xf>
    <xf numFmtId="0" fontId="20" fillId="0" borderId="0" xfId="0" applyFont="1" applyAlignment="1">
      <alignment wrapText="1"/>
    </xf>
  </cellXfs>
  <cellStyles count="5">
    <cellStyle name="Comma" xfId="1" builtinId="3"/>
    <cellStyle name="Normal" xfId="0" builtinId="0"/>
    <cellStyle name="Normal 2" xfId="2" xr:uid="{00000000-0005-0000-0000-000002000000}"/>
    <cellStyle name="Percent" xfId="4" builtinId="5"/>
    <cellStyle name="Percent 2"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4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7031</xdr:colOff>
      <xdr:row>0</xdr:row>
      <xdr:rowOff>1434</xdr:rowOff>
    </xdr:from>
    <xdr:to>
      <xdr:col>0</xdr:col>
      <xdr:colOff>1195031</xdr:colOff>
      <xdr:row>5</xdr:row>
      <xdr:rowOff>628</xdr:rowOff>
    </xdr:to>
    <xdr:pic>
      <xdr:nvPicPr>
        <xdr:cNvPr id="2050" name="Picture 1" descr="sE_small_rgb.jpg">
          <a:extLst>
            <a:ext uri="{FF2B5EF4-FFF2-40B4-BE49-F238E27FC236}">
              <a16:creationId xmlns:a16="http://schemas.microsoft.com/office/drawing/2014/main" id="{00000000-0008-0000-0000-00000208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7031" y="1434"/>
          <a:ext cx="1188000" cy="1035901"/>
        </a:xfrm>
        <a:prstGeom prst="rect">
          <a:avLst/>
        </a:prstGeom>
        <a:noFill/>
        <a:ln w="9525">
          <a:noFill/>
          <a:miter lim="800000"/>
          <a:headEnd/>
          <a:tailEnd/>
        </a:ln>
      </xdr:spPr>
    </xdr:pic>
    <xdr:clientData/>
  </xdr:twoCellAnchor>
  <xdr:twoCellAnchor editAs="absolute">
    <xdr:from>
      <xdr:col>15</xdr:col>
      <xdr:colOff>132108</xdr:colOff>
      <xdr:row>0</xdr:row>
      <xdr:rowOff>0</xdr:rowOff>
    </xdr:from>
    <xdr:to>
      <xdr:col>15</xdr:col>
      <xdr:colOff>1320108</xdr:colOff>
      <xdr:row>4</xdr:row>
      <xdr:rowOff>157944</xdr:rowOff>
    </xdr:to>
    <xdr:pic>
      <xdr:nvPicPr>
        <xdr:cNvPr id="4" name="Picture 1" descr="sE_small_rgb.jpg">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10113066" y="0"/>
          <a:ext cx="1188000" cy="10359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0</xdr:row>
      <xdr:rowOff>0</xdr:rowOff>
    </xdr:from>
    <xdr:to>
      <xdr:col>0</xdr:col>
      <xdr:colOff>1197525</xdr:colOff>
      <xdr:row>5</xdr:row>
      <xdr:rowOff>851</xdr:rowOff>
    </xdr:to>
    <xdr:pic>
      <xdr:nvPicPr>
        <xdr:cNvPr id="3" name="Picture 1" descr="sE_small_rgb.jpg">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9525" y="0"/>
          <a:ext cx="1188000" cy="10359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7031</xdr:colOff>
      <xdr:row>0</xdr:row>
      <xdr:rowOff>1434</xdr:rowOff>
    </xdr:from>
    <xdr:to>
      <xdr:col>0</xdr:col>
      <xdr:colOff>1191304</xdr:colOff>
      <xdr:row>6</xdr:row>
      <xdr:rowOff>4542</xdr:rowOff>
    </xdr:to>
    <xdr:pic>
      <xdr:nvPicPr>
        <xdr:cNvPr id="2" name="Picture 1" descr="sE_small_rgb.jpg">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7031" y="1434"/>
          <a:ext cx="1184273" cy="104133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1188000</xdr:colOff>
      <xdr:row>1</xdr:row>
      <xdr:rowOff>634194</xdr:rowOff>
    </xdr:to>
    <xdr:pic>
      <xdr:nvPicPr>
        <xdr:cNvPr id="4" name="Picture 1" descr="sE_small_rgb.jpg">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0" y="0"/>
          <a:ext cx="1188000" cy="103424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1188000</xdr:colOff>
      <xdr:row>1</xdr:row>
      <xdr:rowOff>634194</xdr:rowOff>
    </xdr:to>
    <xdr:pic>
      <xdr:nvPicPr>
        <xdr:cNvPr id="6" name="Picture 1" descr="sE_small_rgb.jpg">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cstate="print"/>
        <a:srcRect l="13561" t="5414" r="3994" b="6916"/>
        <a:stretch/>
      </xdr:blipFill>
      <xdr:spPr bwMode="auto">
        <a:xfrm>
          <a:off x="0" y="0"/>
          <a:ext cx="1188000" cy="10342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2"/>
  <sheetViews>
    <sheetView zoomScaleNormal="100" zoomScaleSheetLayoutView="90" workbookViewId="0">
      <selection activeCell="F9" sqref="F9"/>
    </sheetView>
  </sheetViews>
  <sheetFormatPr defaultColWidth="9.109375" defaultRowHeight="12.6"/>
  <cols>
    <col min="1" max="1" width="28.27734375" style="151" customWidth="1"/>
    <col min="2" max="4" width="8.109375" style="151" customWidth="1"/>
    <col min="5" max="5" width="8.109375" style="199" customWidth="1"/>
    <col min="6" max="15" width="8.109375" style="151" customWidth="1"/>
    <col min="16" max="16" width="28.109375" style="198" customWidth="1"/>
    <col min="17" max="29" width="8.109375" style="151" customWidth="1"/>
    <col min="30" max="16384" width="9.109375" style="151"/>
  </cols>
  <sheetData>
    <row r="1" spans="1:29" ht="31.5" customHeight="1">
      <c r="A1" s="228" t="s">
        <v>185</v>
      </c>
      <c r="B1" s="228"/>
      <c r="C1" s="228"/>
      <c r="D1" s="228"/>
      <c r="E1" s="228"/>
      <c r="F1" s="228"/>
      <c r="G1" s="228"/>
      <c r="H1" s="228"/>
      <c r="I1" s="228"/>
      <c r="J1" s="228"/>
      <c r="K1" s="228"/>
      <c r="L1" s="228"/>
      <c r="M1" s="228"/>
      <c r="N1" s="228"/>
      <c r="O1" s="228"/>
      <c r="P1" s="228" t="s">
        <v>185</v>
      </c>
      <c r="Q1" s="228"/>
      <c r="R1" s="228"/>
      <c r="S1" s="228"/>
      <c r="T1" s="228"/>
      <c r="U1" s="228"/>
      <c r="V1" s="228"/>
      <c r="W1" s="228"/>
      <c r="X1" s="228"/>
      <c r="Y1" s="228"/>
      <c r="Z1" s="228"/>
      <c r="AA1" s="228"/>
      <c r="AB1" s="228"/>
      <c r="AC1" s="228"/>
    </row>
    <row r="2" spans="1:29" ht="21.75" customHeight="1">
      <c r="A2" s="229" t="s">
        <v>100</v>
      </c>
      <c r="B2" s="229"/>
      <c r="C2" s="229"/>
      <c r="D2" s="229"/>
      <c r="E2" s="229"/>
      <c r="F2" s="229"/>
      <c r="G2" s="229"/>
      <c r="H2" s="229"/>
      <c r="I2" s="229"/>
      <c r="J2" s="229"/>
      <c r="K2" s="229"/>
      <c r="L2" s="229"/>
      <c r="M2" s="229"/>
      <c r="N2" s="229"/>
      <c r="O2" s="229"/>
      <c r="P2" s="229" t="s">
        <v>101</v>
      </c>
      <c r="Q2" s="229"/>
      <c r="R2" s="229"/>
      <c r="S2" s="229"/>
      <c r="T2" s="229"/>
      <c r="U2" s="229"/>
      <c r="V2" s="229"/>
      <c r="W2" s="229"/>
      <c r="X2" s="229"/>
      <c r="Y2" s="229"/>
      <c r="Z2" s="229"/>
      <c r="AA2" s="229"/>
      <c r="AB2" s="229"/>
      <c r="AC2" s="229"/>
    </row>
    <row r="3" spans="1:29" ht="3" customHeight="1">
      <c r="A3" s="152"/>
      <c r="B3" s="153"/>
      <c r="C3" s="153"/>
      <c r="D3" s="153"/>
      <c r="E3" s="153"/>
      <c r="F3" s="153"/>
      <c r="G3" s="153"/>
      <c r="H3" s="153"/>
      <c r="I3" s="153"/>
      <c r="J3" s="153"/>
      <c r="K3" s="153"/>
      <c r="L3" s="153"/>
      <c r="M3" s="153"/>
      <c r="N3" s="153"/>
      <c r="O3" s="153"/>
      <c r="P3" s="152"/>
      <c r="Q3" s="154"/>
      <c r="R3" s="154"/>
      <c r="S3" s="154"/>
      <c r="T3" s="154"/>
      <c r="U3" s="154"/>
      <c r="V3" s="154"/>
      <c r="W3" s="154"/>
      <c r="X3" s="154"/>
      <c r="Y3" s="154"/>
      <c r="Z3" s="154"/>
      <c r="AA3" s="154"/>
      <c r="AB3" s="154"/>
      <c r="AC3" s="154"/>
    </row>
    <row r="4" spans="1:29" s="157" customFormat="1" ht="13" customHeight="1">
      <c r="A4" s="155"/>
      <c r="B4" s="144" t="s">
        <v>13</v>
      </c>
      <c r="C4" s="144" t="s">
        <v>14</v>
      </c>
      <c r="D4" s="144" t="s">
        <v>71</v>
      </c>
      <c r="E4" s="156" t="s">
        <v>69</v>
      </c>
      <c r="F4" s="144" t="s">
        <v>73</v>
      </c>
      <c r="G4" s="144" t="s">
        <v>114</v>
      </c>
      <c r="H4" s="144" t="s">
        <v>15</v>
      </c>
      <c r="I4" s="144" t="s">
        <v>74</v>
      </c>
      <c r="J4" s="144" t="s">
        <v>16</v>
      </c>
      <c r="K4" s="144" t="s">
        <v>17</v>
      </c>
      <c r="L4" s="144" t="s">
        <v>18</v>
      </c>
      <c r="M4" s="144" t="s">
        <v>19</v>
      </c>
      <c r="N4" s="144" t="s">
        <v>75</v>
      </c>
      <c r="O4" s="144" t="s">
        <v>20</v>
      </c>
      <c r="P4" s="155"/>
      <c r="Q4" s="144" t="s">
        <v>21</v>
      </c>
      <c r="R4" s="144" t="s">
        <v>77</v>
      </c>
      <c r="S4" s="144" t="s">
        <v>78</v>
      </c>
      <c r="T4" s="144" t="s">
        <v>22</v>
      </c>
      <c r="U4" s="144" t="s">
        <v>79</v>
      </c>
      <c r="V4" s="144" t="s">
        <v>23</v>
      </c>
      <c r="W4" s="144" t="s">
        <v>80</v>
      </c>
      <c r="X4" s="144" t="s">
        <v>24</v>
      </c>
      <c r="Y4" s="144" t="s">
        <v>81</v>
      </c>
      <c r="Z4" s="144" t="s">
        <v>116</v>
      </c>
      <c r="AA4" s="144" t="s">
        <v>117</v>
      </c>
      <c r="AB4" s="144" t="s">
        <v>25</v>
      </c>
      <c r="AC4" s="144" t="s">
        <v>26</v>
      </c>
    </row>
    <row r="5" spans="1:29" s="157" customFormat="1" ht="12.75" customHeight="1">
      <c r="A5" s="155"/>
      <c r="B5" s="144" t="s">
        <v>93</v>
      </c>
      <c r="C5" s="144" t="s">
        <v>93</v>
      </c>
      <c r="D5" s="144" t="s">
        <v>72</v>
      </c>
      <c r="E5" s="156" t="s">
        <v>70</v>
      </c>
      <c r="F5" s="144" t="s">
        <v>93</v>
      </c>
      <c r="G5" s="144" t="s">
        <v>108</v>
      </c>
      <c r="H5" s="144" t="s">
        <v>105</v>
      </c>
      <c r="I5" s="144" t="s">
        <v>93</v>
      </c>
      <c r="J5" s="144" t="s">
        <v>93</v>
      </c>
      <c r="K5" s="144" t="s">
        <v>93</v>
      </c>
      <c r="L5" s="144" t="s">
        <v>93</v>
      </c>
      <c r="M5" s="144" t="s">
        <v>93</v>
      </c>
      <c r="N5" s="144" t="s">
        <v>76</v>
      </c>
      <c r="O5" s="144" t="s">
        <v>93</v>
      </c>
      <c r="P5" s="155"/>
      <c r="Q5" s="144" t="s">
        <v>93</v>
      </c>
      <c r="R5" s="144" t="s">
        <v>93</v>
      </c>
      <c r="S5" s="144" t="s">
        <v>93</v>
      </c>
      <c r="T5" s="144" t="s">
        <v>93</v>
      </c>
      <c r="U5" s="144" t="s">
        <v>93</v>
      </c>
      <c r="V5" s="144" t="s">
        <v>93</v>
      </c>
      <c r="W5" s="144" t="s">
        <v>112</v>
      </c>
      <c r="X5" s="144" t="s">
        <v>93</v>
      </c>
      <c r="Y5" s="144" t="s">
        <v>110</v>
      </c>
      <c r="Z5" s="144" t="s">
        <v>93</v>
      </c>
      <c r="AA5" s="144" t="s">
        <v>93</v>
      </c>
      <c r="AB5" s="144" t="s">
        <v>93</v>
      </c>
      <c r="AC5" s="144" t="s">
        <v>109</v>
      </c>
    </row>
    <row r="6" spans="1:29" s="141" customFormat="1" ht="11.7">
      <c r="A6" s="141" t="s">
        <v>184</v>
      </c>
      <c r="B6" s="158"/>
      <c r="C6" s="158"/>
      <c r="D6" s="158">
        <v>1.9558</v>
      </c>
      <c r="E6" s="141">
        <v>7.5629999999999997</v>
      </c>
      <c r="F6" s="158"/>
      <c r="G6" s="158">
        <v>26.917999999999999</v>
      </c>
      <c r="H6" s="158">
        <v>7.4420999999999999</v>
      </c>
      <c r="I6" s="158"/>
      <c r="J6" s="158"/>
      <c r="K6" s="158"/>
      <c r="L6" s="158"/>
      <c r="M6" s="158"/>
      <c r="N6" s="141">
        <v>359.89</v>
      </c>
      <c r="O6" s="158"/>
      <c r="P6" s="141" t="s">
        <v>184</v>
      </c>
      <c r="Q6" s="158"/>
      <c r="T6" s="158"/>
      <c r="V6" s="158"/>
      <c r="W6" s="141">
        <v>4.4935</v>
      </c>
      <c r="X6" s="158"/>
      <c r="Y6" s="141">
        <v>4.8739999999999997</v>
      </c>
      <c r="AC6" s="158">
        <v>10.485300000000001</v>
      </c>
    </row>
    <row r="7" spans="1:29" s="165" customFormat="1" ht="5.25" customHeight="1">
      <c r="A7" s="159"/>
      <c r="B7" s="160"/>
      <c r="C7" s="160"/>
      <c r="D7" s="160"/>
      <c r="E7" s="161"/>
      <c r="F7" s="160"/>
      <c r="G7" s="160"/>
      <c r="H7" s="160"/>
      <c r="I7" s="160"/>
      <c r="J7" s="160"/>
      <c r="K7" s="160"/>
      <c r="L7" s="160"/>
      <c r="M7" s="160"/>
      <c r="N7" s="162"/>
      <c r="O7" s="160"/>
      <c r="P7" s="159"/>
      <c r="Q7" s="163"/>
      <c r="R7" s="161"/>
      <c r="S7" s="161"/>
      <c r="T7" s="160"/>
      <c r="U7" s="161"/>
      <c r="V7" s="160"/>
      <c r="W7" s="162"/>
      <c r="X7" s="160"/>
      <c r="Y7" s="160"/>
      <c r="Z7" s="161"/>
      <c r="AA7" s="162"/>
      <c r="AB7" s="164"/>
      <c r="AC7" s="160"/>
    </row>
    <row r="8" spans="1:29" s="165" customFormat="1" ht="11.7">
      <c r="A8" s="166" t="s">
        <v>28</v>
      </c>
      <c r="B8" s="6"/>
      <c r="C8" s="6"/>
      <c r="D8" s="6"/>
      <c r="E8" s="6"/>
      <c r="F8" s="6"/>
      <c r="G8" s="6"/>
      <c r="H8" s="6"/>
      <c r="I8" s="6"/>
      <c r="J8" s="6"/>
      <c r="K8" s="6"/>
      <c r="L8" s="6"/>
      <c r="M8" s="6"/>
      <c r="N8" s="6"/>
      <c r="O8" s="6"/>
      <c r="P8" s="166" t="s">
        <v>28</v>
      </c>
      <c r="Q8" s="6"/>
      <c r="R8" s="6"/>
      <c r="S8" s="6"/>
      <c r="T8" s="6"/>
      <c r="U8" s="6"/>
      <c r="V8" s="6"/>
      <c r="W8" s="167"/>
      <c r="X8" s="6"/>
      <c r="Y8" s="168"/>
      <c r="Z8" s="6"/>
      <c r="AA8" s="6"/>
      <c r="AB8" s="6"/>
      <c r="AC8" s="6"/>
    </row>
    <row r="9" spans="1:29" s="165" customFormat="1" ht="5.25" customHeight="1">
      <c r="A9" s="159"/>
      <c r="B9" s="6"/>
      <c r="C9" s="6"/>
      <c r="D9" s="6"/>
      <c r="E9" s="6"/>
      <c r="F9" s="6"/>
      <c r="G9" s="6"/>
      <c r="H9" s="6"/>
      <c r="I9" s="6"/>
      <c r="J9" s="6"/>
      <c r="K9" s="6"/>
      <c r="L9" s="6"/>
      <c r="M9" s="6"/>
      <c r="N9" s="6"/>
      <c r="O9" s="6"/>
      <c r="P9" s="159"/>
      <c r="Q9" s="6"/>
      <c r="R9" s="6"/>
      <c r="S9" s="6"/>
      <c r="T9" s="6"/>
      <c r="U9" s="6"/>
      <c r="V9" s="6"/>
      <c r="W9" s="6"/>
      <c r="X9" s="6"/>
      <c r="Y9" s="6"/>
      <c r="Z9" s="6"/>
      <c r="AA9" s="6"/>
      <c r="AB9" s="6"/>
      <c r="AC9" s="6"/>
    </row>
    <row r="10" spans="1:29" s="165" customFormat="1" ht="13" customHeight="1">
      <c r="A10" s="166" t="s">
        <v>29</v>
      </c>
      <c r="B10" s="6"/>
      <c r="C10" s="6"/>
      <c r="D10" s="6"/>
      <c r="E10" s="169"/>
      <c r="F10" s="6"/>
      <c r="G10" s="6"/>
      <c r="H10" s="6"/>
      <c r="I10" s="6"/>
      <c r="J10" s="6"/>
      <c r="K10" s="170"/>
      <c r="L10" s="6"/>
      <c r="M10" s="6"/>
      <c r="N10" s="6"/>
      <c r="O10" s="6"/>
      <c r="P10" s="166" t="s">
        <v>29</v>
      </c>
      <c r="Q10" s="6"/>
      <c r="R10" s="6"/>
      <c r="S10" s="6"/>
      <c r="T10" s="6"/>
      <c r="U10" s="6"/>
      <c r="V10" s="6"/>
      <c r="W10" s="6"/>
      <c r="X10" s="6"/>
      <c r="Z10" s="6"/>
      <c r="AA10" s="6"/>
      <c r="AB10" s="6"/>
      <c r="AC10" s="6"/>
    </row>
    <row r="11" spans="1:29" s="165" customFormat="1" ht="13" customHeight="1">
      <c r="A11" s="159" t="s">
        <v>49</v>
      </c>
      <c r="B11" s="6"/>
      <c r="C11" s="6"/>
      <c r="D11" s="2">
        <v>1100</v>
      </c>
      <c r="E11" s="2">
        <v>6000</v>
      </c>
      <c r="F11" s="1"/>
      <c r="G11" s="1">
        <v>32250</v>
      </c>
      <c r="H11" s="1">
        <v>15000</v>
      </c>
      <c r="I11" s="1"/>
      <c r="J11" s="6"/>
      <c r="K11" s="171"/>
      <c r="L11" s="6"/>
      <c r="M11" s="6"/>
      <c r="N11" s="2">
        <v>333385</v>
      </c>
      <c r="O11" s="6"/>
      <c r="P11" s="159" t="s">
        <v>49</v>
      </c>
      <c r="Q11" s="6"/>
      <c r="R11" s="172"/>
      <c r="S11" s="172"/>
      <c r="T11" s="6"/>
      <c r="U11" s="2"/>
      <c r="V11" s="6"/>
      <c r="W11" s="2">
        <v>6275</v>
      </c>
      <c r="X11" s="6"/>
      <c r="Y11" s="5">
        <v>3647.93</v>
      </c>
      <c r="Z11" s="2"/>
      <c r="AA11" s="2"/>
      <c r="AB11" s="6"/>
      <c r="AC11" s="1">
        <v>51659</v>
      </c>
    </row>
    <row r="12" spans="1:29" s="165" customFormat="1" ht="5.25" customHeight="1">
      <c r="A12" s="159"/>
      <c r="B12" s="6"/>
      <c r="C12" s="6"/>
      <c r="D12" s="6"/>
      <c r="E12" s="144"/>
      <c r="F12" s="6"/>
      <c r="G12" s="6"/>
      <c r="H12" s="6"/>
      <c r="I12" s="6"/>
      <c r="J12" s="6"/>
      <c r="K12" s="6"/>
      <c r="L12" s="6"/>
      <c r="M12" s="6"/>
      <c r="N12" s="6"/>
      <c r="O12" s="6"/>
      <c r="P12" s="159"/>
      <c r="Q12" s="6"/>
      <c r="R12" s="6"/>
      <c r="S12" s="6"/>
      <c r="T12" s="6"/>
      <c r="U12" s="6"/>
      <c r="V12" s="6"/>
      <c r="W12" s="6"/>
      <c r="X12" s="6"/>
      <c r="Y12" s="6"/>
      <c r="Z12" s="6"/>
      <c r="AA12" s="6"/>
      <c r="AB12" s="6"/>
      <c r="AC12" s="2"/>
    </row>
    <row r="13" spans="1:29" s="157" customFormat="1" ht="13" customHeight="1">
      <c r="A13" s="155" t="s">
        <v>83</v>
      </c>
      <c r="B13" s="173">
        <v>1200</v>
      </c>
      <c r="C13" s="174">
        <f>223.1042+2769.69</f>
        <v>2992.7942000000003</v>
      </c>
      <c r="D13" s="173">
        <f xml:space="preserve"> D11/D6</f>
        <v>562.42969628796402</v>
      </c>
      <c r="E13" s="9">
        <f>E11/E6</f>
        <v>793.33597778659271</v>
      </c>
      <c r="F13" s="175">
        <v>956.82</v>
      </c>
      <c r="G13" s="9">
        <f>G11/G6</f>
        <v>1198.0830670926518</v>
      </c>
      <c r="H13" s="128">
        <f>H11/H6</f>
        <v>2015.5601241585036</v>
      </c>
      <c r="I13" s="9">
        <v>1881</v>
      </c>
      <c r="J13" s="173">
        <v>5035</v>
      </c>
      <c r="K13" s="174">
        <v>1802.67</v>
      </c>
      <c r="L13" s="173">
        <v>1303</v>
      </c>
      <c r="M13" s="174">
        <v>2550.35</v>
      </c>
      <c r="N13" s="9">
        <f>N11/N6</f>
        <v>926.35249659618216</v>
      </c>
      <c r="O13" s="173">
        <v>4257</v>
      </c>
      <c r="P13" s="155" t="s">
        <v>83</v>
      </c>
      <c r="Q13" s="174">
        <v>1035.52</v>
      </c>
      <c r="R13" s="9">
        <v>1642</v>
      </c>
      <c r="S13" s="9">
        <v>2025</v>
      </c>
      <c r="T13" s="173">
        <v>1041</v>
      </c>
      <c r="U13" s="9">
        <v>1360</v>
      </c>
      <c r="V13" s="173">
        <v>1686</v>
      </c>
      <c r="W13" s="9">
        <f>W11/W6</f>
        <v>1396.4615555802827</v>
      </c>
      <c r="X13" s="174">
        <v>1386.93</v>
      </c>
      <c r="Y13" s="173">
        <f>Y11/Y6</f>
        <v>748.44686089454251</v>
      </c>
      <c r="Z13" s="9">
        <v>1080</v>
      </c>
      <c r="AA13" s="9">
        <v>1320</v>
      </c>
      <c r="AB13" s="176">
        <v>958.94</v>
      </c>
      <c r="AC13" s="128">
        <f>AC11/AC6</f>
        <v>4926.8022851039068</v>
      </c>
    </row>
    <row r="14" spans="1:29" s="165" customFormat="1" ht="5.25" customHeight="1">
      <c r="A14" s="159"/>
      <c r="B14" s="1"/>
      <c r="C14" s="1"/>
      <c r="D14" s="1"/>
      <c r="E14" s="6"/>
      <c r="F14" s="6"/>
      <c r="G14" s="6"/>
      <c r="H14" s="113"/>
      <c r="I14" s="6"/>
      <c r="J14" s="1"/>
      <c r="K14" s="1"/>
      <c r="L14" s="1"/>
      <c r="M14" s="1"/>
      <c r="N14" s="6"/>
      <c r="O14" s="1"/>
      <c r="P14" s="159"/>
      <c r="Q14" s="1"/>
      <c r="R14" s="6"/>
      <c r="S14" s="6"/>
      <c r="T14" s="1"/>
      <c r="U14" s="6"/>
      <c r="V14" s="1"/>
      <c r="W14" s="6"/>
      <c r="X14" s="177"/>
      <c r="Y14" s="177"/>
      <c r="Z14" s="6"/>
      <c r="AA14" s="6"/>
      <c r="AB14" s="177"/>
      <c r="AC14" s="178"/>
    </row>
    <row r="15" spans="1:29" s="165" customFormat="1" ht="13" customHeight="1">
      <c r="A15" s="166" t="s">
        <v>30</v>
      </c>
      <c r="B15" s="6"/>
      <c r="C15" s="6"/>
      <c r="D15" s="6"/>
      <c r="E15" s="6"/>
      <c r="F15" s="6"/>
      <c r="G15" s="6"/>
      <c r="H15" s="6"/>
      <c r="I15" s="6"/>
      <c r="J15" s="6"/>
      <c r="K15" s="6"/>
      <c r="L15" s="6"/>
      <c r="M15" s="6"/>
      <c r="N15" s="6"/>
      <c r="O15" s="6"/>
      <c r="P15" s="166" t="s">
        <v>30</v>
      </c>
      <c r="Q15" s="6"/>
      <c r="R15" s="6"/>
      <c r="S15" s="6"/>
      <c r="T15" s="6"/>
      <c r="U15" s="6"/>
      <c r="V15" s="6"/>
      <c r="W15" s="179"/>
      <c r="X15" s="6"/>
      <c r="Y15" s="6"/>
      <c r="Z15" s="6"/>
      <c r="AA15" s="6"/>
      <c r="AB15" s="6"/>
      <c r="AC15" s="2"/>
    </row>
    <row r="16" spans="1:29" s="165" customFormat="1" ht="13" customHeight="1">
      <c r="A16" s="159" t="s">
        <v>65</v>
      </c>
      <c r="B16" s="116">
        <v>80</v>
      </c>
      <c r="C16" s="180">
        <f>66.9313+90.8479</f>
        <v>157.7792</v>
      </c>
      <c r="D16" s="1">
        <v>90</v>
      </c>
      <c r="E16" s="2">
        <v>800</v>
      </c>
      <c r="F16" s="1">
        <v>45</v>
      </c>
      <c r="G16" s="2">
        <v>2340</v>
      </c>
      <c r="H16" s="1">
        <v>1508</v>
      </c>
      <c r="I16" s="7">
        <v>289.33</v>
      </c>
      <c r="J16" s="1">
        <v>771</v>
      </c>
      <c r="K16" s="180">
        <v>195.47</v>
      </c>
      <c r="L16" s="116">
        <v>153</v>
      </c>
      <c r="M16" s="180">
        <v>106.18</v>
      </c>
      <c r="N16" s="2">
        <v>25520</v>
      </c>
      <c r="O16" s="116">
        <v>616.45000000000005</v>
      </c>
      <c r="P16" s="159" t="s">
        <v>65</v>
      </c>
      <c r="Q16" s="180">
        <v>88.67</v>
      </c>
      <c r="R16" s="2">
        <v>176</v>
      </c>
      <c r="S16" s="106">
        <v>264.52</v>
      </c>
      <c r="T16" s="180">
        <v>66.930000000000007</v>
      </c>
      <c r="U16" s="2">
        <v>152</v>
      </c>
      <c r="V16" s="116">
        <v>149.30000000000001</v>
      </c>
      <c r="W16" s="2">
        <v>350</v>
      </c>
      <c r="X16" s="181">
        <v>76.099999999999994</v>
      </c>
      <c r="Y16" s="180">
        <v>437.75</v>
      </c>
      <c r="Z16" s="5">
        <v>84.24</v>
      </c>
      <c r="AA16" s="2">
        <v>132</v>
      </c>
      <c r="AB16" s="180">
        <v>64.13</v>
      </c>
      <c r="AC16" s="1">
        <v>5479</v>
      </c>
    </row>
    <row r="17" spans="1:29" s="165" customFormat="1" ht="5.25" customHeight="1">
      <c r="A17" s="159"/>
      <c r="B17" s="6"/>
      <c r="C17" s="6"/>
      <c r="D17" s="6"/>
      <c r="E17" s="2"/>
      <c r="F17" s="1"/>
      <c r="G17" s="1"/>
      <c r="H17" s="6"/>
      <c r="I17" s="3"/>
      <c r="J17" s="6"/>
      <c r="K17" s="6"/>
      <c r="L17" s="6"/>
      <c r="M17" s="6"/>
      <c r="N17" s="2"/>
      <c r="O17" s="6"/>
      <c r="P17" s="159"/>
      <c r="Q17" s="6"/>
      <c r="R17" s="2"/>
      <c r="S17" s="4"/>
      <c r="T17" s="6"/>
      <c r="U17" s="2"/>
      <c r="V17" s="6"/>
      <c r="W17" s="2"/>
      <c r="X17" s="6"/>
      <c r="Y17" s="6"/>
      <c r="Z17" s="2"/>
      <c r="AA17" s="2"/>
      <c r="AB17" s="6"/>
      <c r="AC17" s="2"/>
    </row>
    <row r="18" spans="1:29" s="165" customFormat="1" ht="13" customHeight="1">
      <c r="A18" s="159" t="s">
        <v>31</v>
      </c>
      <c r="B18" s="6"/>
      <c r="C18" s="6"/>
      <c r="D18" s="2">
        <f>D16/18%</f>
        <v>500</v>
      </c>
      <c r="E18" s="2">
        <f>E16/18%</f>
        <v>4444.4444444444443</v>
      </c>
      <c r="F18" s="2"/>
      <c r="G18" s="2">
        <f>G16/18%</f>
        <v>13000</v>
      </c>
      <c r="H18" s="2">
        <f>H16/18%</f>
        <v>8377.7777777777774</v>
      </c>
      <c r="I18" s="2"/>
      <c r="J18" s="6"/>
      <c r="K18" s="6"/>
      <c r="L18" s="6"/>
      <c r="M18" s="6"/>
      <c r="N18" s="2">
        <f>N16/18%</f>
        <v>141777.77777777778</v>
      </c>
      <c r="O18" s="6"/>
      <c r="P18" s="159" t="s">
        <v>31</v>
      </c>
      <c r="Q18" s="6"/>
      <c r="R18" s="2"/>
      <c r="S18" s="2"/>
      <c r="T18" s="6"/>
      <c r="U18" s="2"/>
      <c r="V18" s="6"/>
      <c r="W18" s="2">
        <f>W16/18%</f>
        <v>1944.4444444444446</v>
      </c>
      <c r="X18" s="6"/>
      <c r="Y18" s="2">
        <f>Y16/18%</f>
        <v>2431.9444444444443</v>
      </c>
      <c r="Z18" s="2"/>
      <c r="AA18" s="2"/>
      <c r="AB18" s="6"/>
      <c r="AC18" s="2">
        <f>AC16/18%</f>
        <v>30438.888888888891</v>
      </c>
    </row>
    <row r="19" spans="1:29" s="165" customFormat="1" ht="13" customHeight="1">
      <c r="A19" s="159" t="s">
        <v>32</v>
      </c>
      <c r="B19" s="6"/>
      <c r="C19" s="2"/>
      <c r="D19" s="2"/>
      <c r="E19" s="6"/>
      <c r="F19" s="6"/>
      <c r="G19" s="6"/>
      <c r="H19" s="6"/>
      <c r="I19" s="6"/>
      <c r="J19" s="2"/>
      <c r="K19" s="2"/>
      <c r="L19" s="2"/>
      <c r="M19" s="2"/>
      <c r="N19" s="6"/>
      <c r="O19" s="2"/>
      <c r="P19" s="159" t="s">
        <v>32</v>
      </c>
      <c r="Q19" s="2"/>
      <c r="R19" s="6"/>
      <c r="S19" s="6"/>
      <c r="T19" s="2"/>
      <c r="U19" s="6"/>
      <c r="V19" s="2"/>
      <c r="W19" s="6"/>
      <c r="X19" s="2"/>
      <c r="Y19" s="2"/>
      <c r="Z19" s="6"/>
      <c r="AA19" s="6"/>
      <c r="AB19" s="2"/>
      <c r="AC19" s="2"/>
    </row>
    <row r="20" spans="1:29" s="165" customFormat="1" ht="5.25" customHeight="1">
      <c r="A20" s="159"/>
      <c r="B20" s="6"/>
      <c r="C20" s="6"/>
      <c r="D20" s="6"/>
      <c r="E20" s="6"/>
      <c r="F20" s="6"/>
      <c r="G20" s="6"/>
      <c r="H20" s="6"/>
      <c r="I20" s="6"/>
      <c r="J20" s="6"/>
      <c r="K20" s="6"/>
      <c r="L20" s="6"/>
      <c r="M20" s="6"/>
      <c r="N20" s="6"/>
      <c r="O20" s="6"/>
      <c r="P20" s="159"/>
      <c r="Q20" s="6"/>
      <c r="R20" s="6"/>
      <c r="S20" s="6"/>
      <c r="T20" s="6"/>
      <c r="U20" s="6"/>
      <c r="V20" s="6"/>
      <c r="W20" s="6"/>
      <c r="X20" s="6"/>
      <c r="Y20" s="6"/>
      <c r="Z20" s="6"/>
      <c r="AA20" s="6"/>
      <c r="AB20" s="6"/>
      <c r="AC20" s="2"/>
    </row>
    <row r="21" spans="1:29" s="157" customFormat="1" ht="13" customHeight="1">
      <c r="A21" s="155" t="s">
        <v>83</v>
      </c>
      <c r="B21" s="9">
        <f>B16/18%</f>
        <v>444.44444444444446</v>
      </c>
      <c r="C21" s="9">
        <f>C16/18%</f>
        <v>876.55111111111114</v>
      </c>
      <c r="D21" s="9">
        <v>256</v>
      </c>
      <c r="E21" s="9">
        <f>E18/E6</f>
        <v>587.65627984192042</v>
      </c>
      <c r="F21" s="9">
        <f>F16/18%</f>
        <v>250</v>
      </c>
      <c r="G21" s="9">
        <f>G18/G6</f>
        <v>482.94821309161159</v>
      </c>
      <c r="H21" s="128">
        <f>H18/H6</f>
        <v>1125.7276545300087</v>
      </c>
      <c r="I21" s="9">
        <f>I16/18%</f>
        <v>1607.3888888888889</v>
      </c>
      <c r="J21" s="9">
        <f t="shared" ref="J21:O21" si="0">J16/18%</f>
        <v>4283.3333333333339</v>
      </c>
      <c r="K21" s="9">
        <f>K16/18%</f>
        <v>1085.9444444444446</v>
      </c>
      <c r="L21" s="9">
        <f t="shared" si="0"/>
        <v>850</v>
      </c>
      <c r="M21" s="9">
        <f t="shared" si="0"/>
        <v>589.88888888888891</v>
      </c>
      <c r="N21" s="9">
        <f>N18/N6</f>
        <v>393.94753335124005</v>
      </c>
      <c r="O21" s="9">
        <f t="shared" si="0"/>
        <v>3424.7222222222226</v>
      </c>
      <c r="P21" s="155" t="s">
        <v>83</v>
      </c>
      <c r="Q21" s="9">
        <f t="shared" ref="Q21:V21" si="1">Q16/18%</f>
        <v>492.61111111111114</v>
      </c>
      <c r="R21" s="9">
        <f>R16/18%</f>
        <v>977.77777777777783</v>
      </c>
      <c r="S21" s="9">
        <f t="shared" si="1"/>
        <v>1469.5555555555554</v>
      </c>
      <c r="T21" s="9">
        <f t="shared" si="1"/>
        <v>371.83333333333337</v>
      </c>
      <c r="U21" s="9">
        <f t="shared" si="1"/>
        <v>844.44444444444446</v>
      </c>
      <c r="V21" s="9">
        <f t="shared" si="1"/>
        <v>829.44444444444457</v>
      </c>
      <c r="W21" s="9">
        <f>W18/W6</f>
        <v>432.72381093678524</v>
      </c>
      <c r="X21" s="9">
        <f>X16/18%</f>
        <v>422.77777777777777</v>
      </c>
      <c r="Y21" s="9">
        <f>Y18/Y6</f>
        <v>498.96275019377197</v>
      </c>
      <c r="Z21" s="9">
        <v>468</v>
      </c>
      <c r="AA21" s="9">
        <f>AA16/18%</f>
        <v>733.33333333333337</v>
      </c>
      <c r="AB21" s="9">
        <f>AB16/18%</f>
        <v>356.27777777777777</v>
      </c>
      <c r="AC21" s="128">
        <f>AC18/AC6</f>
        <v>2903.0060073520917</v>
      </c>
    </row>
    <row r="22" spans="1:29" s="165" customFormat="1" ht="5.25" customHeight="1">
      <c r="A22" s="159"/>
      <c r="B22" s="6"/>
      <c r="C22" s="6"/>
      <c r="D22" s="6"/>
      <c r="E22" s="6"/>
      <c r="F22" s="6"/>
      <c r="G22" s="6"/>
      <c r="H22" s="6"/>
      <c r="I22" s="6"/>
      <c r="J22" s="6"/>
      <c r="K22" s="6"/>
      <c r="L22" s="6"/>
      <c r="M22" s="6"/>
      <c r="N22" s="6"/>
      <c r="O22" s="6"/>
      <c r="P22" s="159"/>
      <c r="Q22" s="6"/>
      <c r="R22" s="6"/>
      <c r="S22" s="6"/>
      <c r="T22" s="6"/>
      <c r="U22" s="6"/>
      <c r="V22" s="6"/>
      <c r="W22" s="6"/>
      <c r="X22" s="6"/>
      <c r="Y22" s="6"/>
      <c r="Z22" s="6"/>
      <c r="AA22" s="6"/>
      <c r="AB22" s="6"/>
      <c r="AC22" s="2"/>
    </row>
    <row r="23" spans="1:29" s="165" customFormat="1" ht="13" customHeight="1">
      <c r="A23" s="155" t="s">
        <v>86</v>
      </c>
      <c r="B23" s="117">
        <f t="shared" ref="B23:O23" si="2">B13/B21</f>
        <v>2.6999999999999997</v>
      </c>
      <c r="C23" s="117">
        <f t="shared" si="2"/>
        <v>3.414283733217053</v>
      </c>
      <c r="D23" s="117">
        <f t="shared" si="2"/>
        <v>2.1969910011248595</v>
      </c>
      <c r="E23" s="117">
        <f t="shared" si="2"/>
        <v>1.3500000000000003</v>
      </c>
      <c r="F23" s="117">
        <f t="shared" si="2"/>
        <v>3.82728</v>
      </c>
      <c r="G23" s="117">
        <f t="shared" si="2"/>
        <v>2.4807692307692308</v>
      </c>
      <c r="H23" s="117">
        <f t="shared" si="2"/>
        <v>1.7904509283819627</v>
      </c>
      <c r="I23" s="117">
        <f t="shared" si="2"/>
        <v>1.1702208550789754</v>
      </c>
      <c r="J23" s="117">
        <f t="shared" si="2"/>
        <v>1.175486381322957</v>
      </c>
      <c r="K23" s="117">
        <f t="shared" si="2"/>
        <v>1.6600020463498233</v>
      </c>
      <c r="L23" s="117">
        <f t="shared" si="2"/>
        <v>1.5329411764705883</v>
      </c>
      <c r="M23" s="117">
        <f t="shared" si="2"/>
        <v>4.3234413260501032</v>
      </c>
      <c r="N23" s="117">
        <f t="shared" si="2"/>
        <v>2.3514615987460816</v>
      </c>
      <c r="O23" s="117">
        <f t="shared" si="2"/>
        <v>1.2430205207234972</v>
      </c>
      <c r="P23" s="155" t="s">
        <v>86</v>
      </c>
      <c r="Q23" s="117">
        <f t="shared" ref="Q23:AC23" si="3">Q13/Q21</f>
        <v>2.1021044321642042</v>
      </c>
      <c r="R23" s="117">
        <f>R13/R21</f>
        <v>1.6793181818181817</v>
      </c>
      <c r="S23" s="117">
        <f t="shared" si="3"/>
        <v>1.3779676394979588</v>
      </c>
      <c r="T23" s="117">
        <f t="shared" si="3"/>
        <v>2.799641416405199</v>
      </c>
      <c r="U23" s="117">
        <f t="shared" si="3"/>
        <v>1.6105263157894736</v>
      </c>
      <c r="V23" s="117">
        <f t="shared" si="3"/>
        <v>2.0326858673811117</v>
      </c>
      <c r="W23" s="117">
        <f t="shared" si="3"/>
        <v>3.2271428571428573</v>
      </c>
      <c r="X23" s="117">
        <f t="shared" si="3"/>
        <v>3.2805177398160317</v>
      </c>
      <c r="Y23" s="117">
        <f t="shared" si="3"/>
        <v>1.500005482581382</v>
      </c>
      <c r="Z23" s="117">
        <f t="shared" si="3"/>
        <v>2.3076923076923075</v>
      </c>
      <c r="AA23" s="117">
        <f t="shared" si="3"/>
        <v>1.7999999999999998</v>
      </c>
      <c r="AB23" s="117">
        <f t="shared" si="3"/>
        <v>2.691551535942617</v>
      </c>
      <c r="AC23" s="117">
        <f t="shared" si="3"/>
        <v>1.6971381638985215</v>
      </c>
    </row>
    <row r="24" spans="1:29" s="165" customFormat="1" ht="5.25" customHeight="1">
      <c r="A24" s="159"/>
      <c r="B24" s="146"/>
      <c r="C24" s="146"/>
      <c r="D24" s="146"/>
      <c r="E24" s="6"/>
      <c r="F24" s="146"/>
      <c r="G24" s="146"/>
      <c r="H24" s="146"/>
      <c r="I24" s="146"/>
      <c r="J24" s="146"/>
      <c r="K24" s="146"/>
      <c r="L24" s="146"/>
      <c r="M24" s="146"/>
      <c r="N24" s="146"/>
      <c r="O24" s="146"/>
      <c r="P24" s="159"/>
      <c r="Q24" s="146"/>
      <c r="R24" s="6"/>
      <c r="S24" s="6"/>
      <c r="T24" s="146"/>
      <c r="U24" s="6"/>
      <c r="V24" s="146"/>
      <c r="W24" s="6"/>
      <c r="X24" s="146"/>
      <c r="Y24" s="146"/>
      <c r="Z24" s="6"/>
      <c r="AA24" s="6"/>
      <c r="AB24" s="146"/>
      <c r="AC24" s="2"/>
    </row>
    <row r="25" spans="1:29" s="165" customFormat="1" ht="13" customHeight="1">
      <c r="A25" s="166" t="s">
        <v>34</v>
      </c>
      <c r="B25" s="6"/>
      <c r="C25" s="6"/>
      <c r="D25" s="6"/>
      <c r="E25" s="6"/>
      <c r="F25" s="6"/>
      <c r="G25" s="6"/>
      <c r="H25" s="6"/>
      <c r="I25" s="6"/>
      <c r="J25" s="6"/>
      <c r="K25" s="6"/>
      <c r="L25" s="6"/>
      <c r="M25" s="6"/>
      <c r="N25" s="6"/>
      <c r="O25" s="6"/>
      <c r="P25" s="166" t="s">
        <v>34</v>
      </c>
      <c r="Q25" s="146"/>
      <c r="R25" s="6"/>
      <c r="S25" s="6"/>
      <c r="T25" s="6"/>
      <c r="U25" s="6"/>
      <c r="V25" s="117"/>
      <c r="W25" s="179"/>
      <c r="X25" s="6"/>
      <c r="Y25" s="6"/>
      <c r="Z25" s="6"/>
      <c r="AA25" s="6"/>
      <c r="AB25" s="6"/>
      <c r="AC25" s="6"/>
    </row>
    <row r="26" spans="1:29" s="165" customFormat="1" ht="13" customHeight="1">
      <c r="A26" s="159" t="s">
        <v>67</v>
      </c>
      <c r="B26" s="6">
        <v>0</v>
      </c>
      <c r="C26" s="182">
        <f>0+74.9086</f>
        <v>74.908600000000007</v>
      </c>
      <c r="D26" s="1">
        <v>0</v>
      </c>
      <c r="E26" s="2">
        <v>0</v>
      </c>
      <c r="F26" s="1">
        <v>0</v>
      </c>
      <c r="G26" s="1">
        <v>0</v>
      </c>
      <c r="H26" s="2">
        <v>1126</v>
      </c>
      <c r="I26" s="2">
        <v>147.82</v>
      </c>
      <c r="J26" s="1">
        <v>421</v>
      </c>
      <c r="K26" s="116">
        <v>3.91</v>
      </c>
      <c r="L26" s="6">
        <v>0</v>
      </c>
      <c r="M26" s="183">
        <f>0+(0*0.04)+((0*0.04)*0.024)</f>
        <v>0</v>
      </c>
      <c r="N26" s="2">
        <v>0</v>
      </c>
      <c r="O26" s="116">
        <v>424.84</v>
      </c>
      <c r="P26" s="159" t="s">
        <v>67</v>
      </c>
      <c r="Q26" s="6">
        <v>0</v>
      </c>
      <c r="R26" s="2">
        <v>106</v>
      </c>
      <c r="S26" s="4">
        <v>164.67</v>
      </c>
      <c r="T26" s="6">
        <v>0</v>
      </c>
      <c r="U26" s="11">
        <v>20.5</v>
      </c>
      <c r="V26" s="184">
        <v>88.3</v>
      </c>
      <c r="W26" s="6">
        <v>174</v>
      </c>
      <c r="X26" s="6">
        <v>0</v>
      </c>
      <c r="Y26" s="6">
        <v>0</v>
      </c>
      <c r="Z26" s="2">
        <v>0</v>
      </c>
      <c r="AA26" s="6">
        <v>0</v>
      </c>
      <c r="AB26" s="6">
        <v>0</v>
      </c>
      <c r="AC26" s="1">
        <v>2618</v>
      </c>
    </row>
    <row r="27" spans="1:29" s="165" customFormat="1" ht="5.25" customHeight="1">
      <c r="A27" s="159"/>
      <c r="B27" s="6"/>
      <c r="C27" s="6"/>
      <c r="D27" s="6"/>
      <c r="E27" s="2"/>
      <c r="F27" s="1"/>
      <c r="G27" s="1"/>
      <c r="H27" s="2"/>
      <c r="I27" s="2"/>
      <c r="J27" s="6"/>
      <c r="K27" s="6"/>
      <c r="L27" s="6"/>
      <c r="M27" s="6"/>
      <c r="N27" s="2"/>
      <c r="O27" s="6"/>
      <c r="P27" s="159"/>
      <c r="Q27" s="6"/>
      <c r="R27" s="2"/>
      <c r="S27" s="4"/>
      <c r="T27" s="6"/>
      <c r="U27" s="2"/>
      <c r="V27" s="6"/>
      <c r="W27" s="6"/>
      <c r="X27" s="6"/>
      <c r="Y27" s="6"/>
      <c r="Z27" s="2"/>
      <c r="AA27" s="6"/>
      <c r="AB27" s="6"/>
      <c r="AC27" s="2"/>
    </row>
    <row r="28" spans="1:29" s="165" customFormat="1" ht="13" customHeight="1">
      <c r="A28" s="159" t="s">
        <v>31</v>
      </c>
      <c r="B28" s="6"/>
      <c r="C28" s="6"/>
      <c r="D28" s="6">
        <v>0</v>
      </c>
      <c r="E28" s="2">
        <f>E26/11*100</f>
        <v>0</v>
      </c>
      <c r="F28" s="2"/>
      <c r="G28" s="2">
        <f>G26/11%</f>
        <v>0</v>
      </c>
      <c r="H28" s="2">
        <f>H26/11%</f>
        <v>10236.363636363636</v>
      </c>
      <c r="I28" s="2"/>
      <c r="J28" s="6"/>
      <c r="K28" s="6"/>
      <c r="L28" s="6"/>
      <c r="M28" s="6"/>
      <c r="N28" s="2">
        <f>N26/11%</f>
        <v>0</v>
      </c>
      <c r="O28" s="6"/>
      <c r="P28" s="159" t="s">
        <v>31</v>
      </c>
      <c r="Q28" s="6"/>
      <c r="R28" s="2"/>
      <c r="S28" s="2"/>
      <c r="T28" s="6"/>
      <c r="U28" s="2"/>
      <c r="V28" s="6"/>
      <c r="W28" s="2">
        <f>W26/11*100</f>
        <v>1581.8181818181818</v>
      </c>
      <c r="X28" s="6"/>
      <c r="Y28" s="6">
        <v>0</v>
      </c>
      <c r="Z28" s="2">
        <f>Z26/11*100</f>
        <v>0</v>
      </c>
      <c r="AA28" s="6">
        <v>0</v>
      </c>
      <c r="AB28" s="6"/>
      <c r="AC28" s="2">
        <f>AC26/11%</f>
        <v>23800</v>
      </c>
    </row>
    <row r="29" spans="1:29" s="165" customFormat="1" ht="13" customHeight="1">
      <c r="A29" s="159" t="s">
        <v>32</v>
      </c>
      <c r="B29" s="6"/>
      <c r="C29" s="6"/>
      <c r="D29" s="6"/>
      <c r="E29" s="6"/>
      <c r="F29" s="6"/>
      <c r="G29" s="6"/>
      <c r="H29" s="2"/>
      <c r="I29" s="6"/>
      <c r="J29" s="2"/>
      <c r="K29" s="2"/>
      <c r="L29" s="6"/>
      <c r="M29" s="6"/>
      <c r="N29" s="6"/>
      <c r="O29" s="2"/>
      <c r="P29" s="159" t="s">
        <v>32</v>
      </c>
      <c r="Q29" s="6"/>
      <c r="R29" s="6"/>
      <c r="S29" s="6"/>
      <c r="T29" s="6"/>
      <c r="U29" s="6"/>
      <c r="V29" s="2"/>
      <c r="W29" s="6"/>
      <c r="X29" s="6"/>
      <c r="Y29" s="6"/>
      <c r="Z29" s="6"/>
      <c r="AA29" s="6"/>
      <c r="AB29" s="6"/>
      <c r="AC29" s="2"/>
    </row>
    <row r="30" spans="1:29" s="165" customFormat="1" ht="5.25" customHeight="1">
      <c r="A30" s="159"/>
      <c r="B30" s="6"/>
      <c r="C30" s="6"/>
      <c r="D30" s="6"/>
      <c r="E30" s="6"/>
      <c r="F30" s="6"/>
      <c r="G30" s="6"/>
      <c r="H30" s="2"/>
      <c r="I30" s="6"/>
      <c r="J30" s="6"/>
      <c r="K30" s="6"/>
      <c r="L30" s="6"/>
      <c r="M30" s="6"/>
      <c r="N30" s="6"/>
      <c r="O30" s="6"/>
      <c r="P30" s="159"/>
      <c r="Q30" s="6"/>
      <c r="R30" s="6"/>
      <c r="S30" s="6"/>
      <c r="T30" s="6"/>
      <c r="U30" s="6"/>
      <c r="V30" s="6"/>
      <c r="W30" s="6"/>
      <c r="X30" s="6"/>
      <c r="Y30" s="6"/>
      <c r="Z30" s="6"/>
      <c r="AA30" s="6"/>
      <c r="AB30" s="6"/>
      <c r="AC30" s="2"/>
    </row>
    <row r="31" spans="1:29" s="157" customFormat="1" ht="13" customHeight="1">
      <c r="A31" s="155" t="s">
        <v>83</v>
      </c>
      <c r="B31" s="9">
        <f>B26/11%</f>
        <v>0</v>
      </c>
      <c r="C31" s="9">
        <f>C26/11%</f>
        <v>680.98727272727274</v>
      </c>
      <c r="D31" s="9">
        <v>0</v>
      </c>
      <c r="E31" s="9">
        <f>E28/E6</f>
        <v>0</v>
      </c>
      <c r="F31" s="185">
        <v>0</v>
      </c>
      <c r="G31" s="9">
        <f>G28/G6</f>
        <v>0</v>
      </c>
      <c r="H31" s="9">
        <f>H28/H6</f>
        <v>1375.4670907893787</v>
      </c>
      <c r="I31" s="9">
        <f>I26/11%</f>
        <v>1343.8181818181818</v>
      </c>
      <c r="J31" s="9">
        <f>J26/11%</f>
        <v>3827.2727272727275</v>
      </c>
      <c r="K31" s="9">
        <f>K26/11%</f>
        <v>35.545454545454547</v>
      </c>
      <c r="L31" s="9">
        <f>L26/11%</f>
        <v>0</v>
      </c>
      <c r="M31" s="9">
        <f>M26/11%</f>
        <v>0</v>
      </c>
      <c r="N31" s="9">
        <f>N28/N6</f>
        <v>0</v>
      </c>
      <c r="O31" s="9">
        <f>O26/11%</f>
        <v>3862.181818181818</v>
      </c>
      <c r="P31" s="155" t="s">
        <v>83</v>
      </c>
      <c r="Q31" s="9">
        <f t="shared" ref="Q31:V31" si="4">Q26/11%</f>
        <v>0</v>
      </c>
      <c r="R31" s="9">
        <f t="shared" si="4"/>
        <v>963.63636363636363</v>
      </c>
      <c r="S31" s="9">
        <f t="shared" si="4"/>
        <v>1496.9999999999998</v>
      </c>
      <c r="T31" s="9">
        <f t="shared" si="4"/>
        <v>0</v>
      </c>
      <c r="U31" s="9">
        <f t="shared" si="4"/>
        <v>186.36363636363637</v>
      </c>
      <c r="V31" s="9">
        <f t="shared" si="4"/>
        <v>802.72727272727275</v>
      </c>
      <c r="W31" s="9">
        <f>W28/W6</f>
        <v>352.02363009195096</v>
      </c>
      <c r="X31" s="9">
        <f>X26/11%</f>
        <v>0</v>
      </c>
      <c r="Y31" s="9">
        <v>0</v>
      </c>
      <c r="Z31" s="9">
        <v>0</v>
      </c>
      <c r="AA31" s="185">
        <v>0</v>
      </c>
      <c r="AB31" s="9">
        <f>AB26/11%</f>
        <v>0</v>
      </c>
      <c r="AC31" s="128">
        <f>AC28/AC6</f>
        <v>2269.8444488951195</v>
      </c>
    </row>
    <row r="32" spans="1:29" s="165" customFormat="1" ht="5.25" customHeight="1">
      <c r="A32" s="159"/>
      <c r="B32" s="6"/>
      <c r="C32" s="6"/>
      <c r="D32" s="6"/>
      <c r="E32" s="6"/>
      <c r="F32" s="6"/>
      <c r="G32" s="6"/>
      <c r="H32" s="6"/>
      <c r="I32" s="6"/>
      <c r="J32" s="6"/>
      <c r="K32" s="6"/>
      <c r="L32" s="6"/>
      <c r="M32" s="6"/>
      <c r="N32" s="6"/>
      <c r="O32" s="6"/>
      <c r="P32" s="159"/>
      <c r="Q32" s="6"/>
      <c r="R32" s="6"/>
      <c r="S32" s="6"/>
      <c r="T32" s="6"/>
      <c r="U32" s="6"/>
      <c r="V32" s="6"/>
      <c r="W32" s="6"/>
      <c r="X32" s="6"/>
      <c r="Y32" s="6"/>
      <c r="Z32" s="6"/>
      <c r="AA32" s="6"/>
      <c r="AB32" s="6"/>
      <c r="AC32" s="2"/>
    </row>
    <row r="33" spans="1:29" s="165" customFormat="1" ht="13" customHeight="1">
      <c r="A33" s="155" t="s">
        <v>35</v>
      </c>
      <c r="B33" s="117" t="s">
        <v>63</v>
      </c>
      <c r="C33" s="117">
        <f>C13/C31</f>
        <v>4.3947872740913594</v>
      </c>
      <c r="D33" s="117" t="s">
        <v>63</v>
      </c>
      <c r="E33" s="117" t="s">
        <v>63</v>
      </c>
      <c r="F33" s="117" t="s">
        <v>63</v>
      </c>
      <c r="G33" s="117" t="s">
        <v>63</v>
      </c>
      <c r="H33" s="117">
        <f>H13/H31</f>
        <v>1.4653641207815276</v>
      </c>
      <c r="I33" s="117">
        <f>I13/I31</f>
        <v>1.3997429305912596</v>
      </c>
      <c r="J33" s="117">
        <f>J13/J31</f>
        <v>1.3155581947743467</v>
      </c>
      <c r="K33" s="186">
        <f>K13/K31</f>
        <v>50.714501278772381</v>
      </c>
      <c r="L33" s="117" t="s">
        <v>63</v>
      </c>
      <c r="M33" s="117" t="s">
        <v>63</v>
      </c>
      <c r="N33" s="117" t="s">
        <v>63</v>
      </c>
      <c r="O33" s="117">
        <f>O13/O31</f>
        <v>1.1022267206477734</v>
      </c>
      <c r="P33" s="155" t="s">
        <v>35</v>
      </c>
      <c r="Q33" s="117" t="s">
        <v>63</v>
      </c>
      <c r="R33" s="117">
        <f>R13/R31</f>
        <v>1.7039622641509433</v>
      </c>
      <c r="S33" s="117">
        <f>S13/S31</f>
        <v>1.3527054108216434</v>
      </c>
      <c r="T33" s="117" t="s">
        <v>63</v>
      </c>
      <c r="U33" s="117">
        <f>U13/U31</f>
        <v>7.2975609756097555</v>
      </c>
      <c r="V33" s="117">
        <f>V13/V31</f>
        <v>2.1003397508493769</v>
      </c>
      <c r="W33" s="117">
        <f>W13/W31</f>
        <v>3.9669540229885065</v>
      </c>
      <c r="X33" s="117" t="s">
        <v>63</v>
      </c>
      <c r="Y33" s="117" t="s">
        <v>63</v>
      </c>
      <c r="Z33" s="117" t="s">
        <v>63</v>
      </c>
      <c r="AA33" s="117" t="s">
        <v>63</v>
      </c>
      <c r="AB33" s="117" t="s">
        <v>63</v>
      </c>
      <c r="AC33" s="117">
        <f>AC13/AC31</f>
        <v>2.1705462184873952</v>
      </c>
    </row>
    <row r="34" spans="1:29" s="165" customFormat="1" ht="5.25" customHeight="1">
      <c r="A34" s="159"/>
      <c r="B34" s="146"/>
      <c r="C34" s="146"/>
      <c r="D34" s="146"/>
      <c r="E34" s="6"/>
      <c r="F34" s="6"/>
      <c r="G34" s="6"/>
      <c r="H34" s="146"/>
      <c r="I34" s="6"/>
      <c r="J34" s="146"/>
      <c r="K34" s="146"/>
      <c r="L34" s="146"/>
      <c r="M34" s="146"/>
      <c r="N34" s="187"/>
      <c r="O34" s="146"/>
      <c r="P34" s="159"/>
      <c r="Q34" s="146"/>
      <c r="R34" s="6"/>
      <c r="S34" s="6"/>
      <c r="T34" s="146"/>
      <c r="U34" s="6"/>
      <c r="V34" s="146"/>
      <c r="W34" s="6"/>
      <c r="X34" s="146"/>
      <c r="Y34" s="146"/>
      <c r="Z34" s="6"/>
      <c r="AA34" s="6"/>
      <c r="AB34" s="146"/>
      <c r="AC34" s="2"/>
    </row>
    <row r="35" spans="1:29" s="165" customFormat="1" ht="13" customHeight="1">
      <c r="A35" s="166" t="s">
        <v>36</v>
      </c>
      <c r="B35" s="6"/>
      <c r="C35" s="6"/>
      <c r="D35" s="6"/>
      <c r="E35" s="6"/>
      <c r="F35" s="6"/>
      <c r="G35" s="6"/>
      <c r="H35" s="6"/>
      <c r="I35" s="6"/>
      <c r="J35" s="6"/>
      <c r="K35" s="6"/>
      <c r="L35" s="6"/>
      <c r="M35" s="6"/>
      <c r="N35" s="6"/>
      <c r="O35" s="6"/>
      <c r="P35" s="166" t="s">
        <v>36</v>
      </c>
      <c r="Q35" s="6"/>
      <c r="R35" s="6"/>
      <c r="S35" s="6"/>
      <c r="T35" s="6"/>
      <c r="U35" s="6"/>
      <c r="V35" s="6"/>
      <c r="W35" s="179"/>
      <c r="X35" s="6"/>
      <c r="Y35" s="6"/>
      <c r="Z35" s="6"/>
      <c r="AA35" s="6"/>
      <c r="AB35" s="6"/>
      <c r="AC35" s="2"/>
    </row>
    <row r="36" spans="1:29" s="165" customFormat="1" ht="13" customHeight="1">
      <c r="A36" s="159" t="s">
        <v>66</v>
      </c>
      <c r="B36" s="116">
        <f>2*12.5</f>
        <v>25</v>
      </c>
      <c r="C36" s="188">
        <f>(0.7933+1.211)*12.5</f>
        <v>25.053750000000001</v>
      </c>
      <c r="D36" s="189">
        <v>18.75</v>
      </c>
      <c r="E36" s="2">
        <v>200</v>
      </c>
      <c r="F36" s="3">
        <v>30</v>
      </c>
      <c r="G36" s="1">
        <f>32*12.5</f>
        <v>400</v>
      </c>
      <c r="H36" s="177">
        <f>H38/100*5</f>
        <v>243.70000000000002</v>
      </c>
      <c r="I36" s="116">
        <f>12.7*5</f>
        <v>63.5</v>
      </c>
      <c r="J36" s="190">
        <f>38.5*5</f>
        <v>192.5</v>
      </c>
      <c r="K36" s="191">
        <f>7.68*5</f>
        <v>38.4</v>
      </c>
      <c r="L36" s="192">
        <f>0.787*12.5</f>
        <v>9.8375000000000004</v>
      </c>
      <c r="M36" s="181">
        <f>5*12.5</f>
        <v>62.5</v>
      </c>
      <c r="N36" s="2">
        <v>8100</v>
      </c>
      <c r="O36" s="191">
        <f>O41*0.05</f>
        <v>112.75</v>
      </c>
      <c r="P36" s="159" t="s">
        <v>66</v>
      </c>
      <c r="Q36" s="7">
        <f>3.02*12.5</f>
        <v>37.75</v>
      </c>
      <c r="R36" s="5">
        <f>7.8*5</f>
        <v>39</v>
      </c>
      <c r="S36" s="5">
        <f>7.11*5</f>
        <v>35.550000000000004</v>
      </c>
      <c r="T36" s="193">
        <f>0.7933*12.5</f>
        <v>9.9162499999999998</v>
      </c>
      <c r="U36" s="5">
        <f>1.93*12.5</f>
        <v>24.125</v>
      </c>
      <c r="V36" s="116">
        <v>37.96</v>
      </c>
      <c r="W36" s="194">
        <f>8.57*12.5</f>
        <v>107.125</v>
      </c>
      <c r="X36" s="180">
        <v>20.89</v>
      </c>
      <c r="Y36" s="181">
        <f>3.64*12.5</f>
        <v>45.5</v>
      </c>
      <c r="Z36" s="112">
        <v>17.933076</v>
      </c>
      <c r="AA36" s="2">
        <v>60.5</v>
      </c>
      <c r="AB36" s="180">
        <v>9.9600000000000009</v>
      </c>
      <c r="AC36" s="3">
        <f>202*5</f>
        <v>1010</v>
      </c>
    </row>
    <row r="37" spans="1:29" s="165" customFormat="1" ht="5.25" customHeight="1">
      <c r="A37" s="159"/>
      <c r="B37" s="6"/>
      <c r="C37" s="6"/>
      <c r="D37" s="6"/>
      <c r="E37" s="11"/>
      <c r="F37" s="7"/>
      <c r="G37" s="1"/>
      <c r="H37" s="6"/>
      <c r="I37" s="116"/>
      <c r="J37" s="6"/>
      <c r="K37" s="6"/>
      <c r="L37" s="6"/>
      <c r="M37" s="6"/>
      <c r="N37" s="2"/>
      <c r="O37" s="6"/>
      <c r="P37" s="159"/>
      <c r="Q37" s="6"/>
      <c r="R37" s="2"/>
      <c r="S37" s="2"/>
      <c r="T37" s="6"/>
      <c r="U37" s="2"/>
      <c r="V37" s="6"/>
      <c r="W37" s="183"/>
      <c r="X37" s="6"/>
      <c r="Y37" s="6"/>
      <c r="Z37" s="2"/>
      <c r="AA37" s="2"/>
      <c r="AB37" s="6"/>
      <c r="AC37" s="2"/>
    </row>
    <row r="38" spans="1:29" s="165" customFormat="1" ht="13" customHeight="1">
      <c r="A38" s="159" t="s">
        <v>31</v>
      </c>
      <c r="B38" s="6"/>
      <c r="C38" s="6"/>
      <c r="D38" s="6">
        <v>375</v>
      </c>
      <c r="E38" s="2">
        <f>E36/5*100</f>
        <v>4000</v>
      </c>
      <c r="F38" s="2"/>
      <c r="G38" s="2">
        <f>G36/5*100</f>
        <v>8000</v>
      </c>
      <c r="H38" s="2">
        <v>4874</v>
      </c>
      <c r="I38" s="2"/>
      <c r="J38" s="6"/>
      <c r="K38" s="6"/>
      <c r="L38" s="6"/>
      <c r="M38" s="6"/>
      <c r="N38" s="2">
        <f>N36/5*100</f>
        <v>162000</v>
      </c>
      <c r="O38" s="6"/>
      <c r="P38" s="159" t="s">
        <v>31</v>
      </c>
      <c r="Q38" s="6"/>
      <c r="R38" s="2"/>
      <c r="S38" s="2"/>
      <c r="T38" s="6"/>
      <c r="U38" s="2"/>
      <c r="V38" s="6"/>
      <c r="W38" s="2">
        <f>W36/0.05</f>
        <v>2142.5</v>
      </c>
      <c r="X38" s="6"/>
      <c r="Y38" s="183">
        <f>Y36/0.05</f>
        <v>910</v>
      </c>
      <c r="Z38" s="2"/>
      <c r="AA38" s="2"/>
      <c r="AB38" s="6"/>
      <c r="AC38" s="2">
        <f>AC36/0.05</f>
        <v>20200</v>
      </c>
    </row>
    <row r="39" spans="1:29" s="165" customFormat="1" ht="13" customHeight="1">
      <c r="A39" s="159" t="s">
        <v>32</v>
      </c>
      <c r="B39" s="6"/>
      <c r="C39" s="2"/>
      <c r="D39" s="2"/>
      <c r="E39" s="6"/>
      <c r="F39" s="6"/>
      <c r="G39" s="6"/>
      <c r="H39" s="6"/>
      <c r="I39" s="6"/>
      <c r="J39" s="2"/>
      <c r="K39" s="2"/>
      <c r="L39" s="2"/>
      <c r="M39" s="2"/>
      <c r="N39" s="6"/>
      <c r="O39" s="2"/>
      <c r="P39" s="159" t="s">
        <v>32</v>
      </c>
      <c r="Q39" s="2"/>
      <c r="R39" s="6"/>
      <c r="S39" s="6"/>
      <c r="T39" s="2"/>
      <c r="U39" s="6"/>
      <c r="V39" s="2"/>
      <c r="W39" s="6"/>
      <c r="X39" s="5"/>
      <c r="Y39" s="2"/>
      <c r="Z39" s="5"/>
      <c r="AA39" s="6"/>
      <c r="AB39" s="2"/>
      <c r="AC39" s="2"/>
    </row>
    <row r="40" spans="1:29" s="165" customFormat="1" ht="5.25" customHeight="1">
      <c r="A40" s="159"/>
      <c r="B40" s="6"/>
      <c r="C40" s="6"/>
      <c r="D40" s="6"/>
      <c r="E40" s="6"/>
      <c r="F40" s="6"/>
      <c r="G40" s="6"/>
      <c r="H40" s="6"/>
      <c r="I40" s="6"/>
      <c r="J40" s="6"/>
      <c r="K40" s="6"/>
      <c r="L40" s="6"/>
      <c r="M40" s="6"/>
      <c r="N40" s="6"/>
      <c r="O40" s="6"/>
      <c r="P40" s="159"/>
      <c r="Q40" s="6"/>
      <c r="R40" s="6"/>
      <c r="S40" s="6"/>
      <c r="T40" s="6"/>
      <c r="U40" s="6"/>
      <c r="V40" s="6"/>
      <c r="W40" s="6"/>
      <c r="X40" s="6"/>
      <c r="Y40" s="6"/>
      <c r="Z40" s="5"/>
      <c r="AA40" s="6"/>
      <c r="AB40" s="6"/>
      <c r="AC40" s="2"/>
    </row>
    <row r="41" spans="1:29" s="157" customFormat="1" ht="13" customHeight="1">
      <c r="A41" s="155" t="s">
        <v>83</v>
      </c>
      <c r="B41" s="9">
        <f>B36/5%</f>
        <v>500</v>
      </c>
      <c r="C41" s="9">
        <f>C36/5%</f>
        <v>501.07499999999999</v>
      </c>
      <c r="D41" s="9">
        <v>192</v>
      </c>
      <c r="E41" s="9">
        <f>E38/E6</f>
        <v>528.89065185772847</v>
      </c>
      <c r="F41" s="9">
        <v>600</v>
      </c>
      <c r="G41" s="9">
        <f>G38/G6</f>
        <v>297.19890036406866</v>
      </c>
      <c r="H41" s="128">
        <f>H38/H6</f>
        <v>654.92266967656974</v>
      </c>
      <c r="I41" s="9">
        <f>I36/5%</f>
        <v>1270</v>
      </c>
      <c r="J41" s="9">
        <f>J36/5%</f>
        <v>3850</v>
      </c>
      <c r="K41" s="9">
        <f>K36/5%</f>
        <v>767.99999999999989</v>
      </c>
      <c r="L41" s="9">
        <f>L36/5%</f>
        <v>196.75</v>
      </c>
      <c r="M41" s="9">
        <f>M36/5%</f>
        <v>1250</v>
      </c>
      <c r="N41" s="9">
        <f>N38/N6</f>
        <v>450.13754202673039</v>
      </c>
      <c r="O41" s="9">
        <v>2255</v>
      </c>
      <c r="P41" s="155" t="s">
        <v>83</v>
      </c>
      <c r="Q41" s="9">
        <f t="shared" ref="Q41:V41" si="5">Q36/5%</f>
        <v>755</v>
      </c>
      <c r="R41" s="9">
        <f>R36/5%</f>
        <v>780</v>
      </c>
      <c r="S41" s="9">
        <f t="shared" si="5"/>
        <v>711</v>
      </c>
      <c r="T41" s="9">
        <f t="shared" si="5"/>
        <v>198.32499999999999</v>
      </c>
      <c r="U41" s="9">
        <f t="shared" si="5"/>
        <v>482.5</v>
      </c>
      <c r="V41" s="9">
        <f t="shared" si="5"/>
        <v>759.19999999999993</v>
      </c>
      <c r="W41" s="9">
        <f>W38/W6</f>
        <v>476.79982196506063</v>
      </c>
      <c r="X41" s="9">
        <f>X36/5%</f>
        <v>417.8</v>
      </c>
      <c r="Y41" s="9">
        <f>Y38/Y6</f>
        <v>186.70496512105049</v>
      </c>
      <c r="Z41" s="9">
        <f>Z36/5%</f>
        <v>358.66152</v>
      </c>
      <c r="AA41" s="9">
        <f>AA36/5%</f>
        <v>1210</v>
      </c>
      <c r="AB41" s="9">
        <f>AB36/5%</f>
        <v>199.20000000000002</v>
      </c>
      <c r="AC41" s="128">
        <f>AC38/AC6</f>
        <v>1926.506633095858</v>
      </c>
    </row>
    <row r="42" spans="1:29" s="165" customFormat="1" ht="5.25" customHeight="1">
      <c r="A42" s="159"/>
      <c r="B42" s="6"/>
      <c r="C42" s="6"/>
      <c r="D42" s="6"/>
      <c r="E42" s="6"/>
      <c r="F42" s="6"/>
      <c r="G42" s="6"/>
      <c r="H42" s="6"/>
      <c r="I42" s="6"/>
      <c r="J42" s="6"/>
      <c r="K42" s="6"/>
      <c r="L42" s="6"/>
      <c r="M42" s="6"/>
      <c r="N42" s="6"/>
      <c r="O42" s="6"/>
      <c r="P42" s="159"/>
      <c r="Q42" s="6"/>
      <c r="R42" s="6"/>
      <c r="S42" s="6"/>
      <c r="T42" s="6"/>
      <c r="U42" s="6"/>
      <c r="V42" s="6"/>
      <c r="W42" s="6"/>
      <c r="X42" s="6"/>
      <c r="Y42" s="6"/>
      <c r="Z42" s="6"/>
      <c r="AA42" s="6"/>
      <c r="AB42" s="6"/>
      <c r="AC42" s="2"/>
    </row>
    <row r="43" spans="1:29" s="165" customFormat="1" ht="13" customHeight="1">
      <c r="A43" s="155" t="s">
        <v>37</v>
      </c>
      <c r="B43" s="117" t="str">
        <f>(ROUND(SUM(B13/B41),1))&amp;":1"</f>
        <v>2.4:1</v>
      </c>
      <c r="C43" s="117">
        <f t="shared" ref="C43:O43" si="6">C13/C41</f>
        <v>5.9727469939629803</v>
      </c>
      <c r="D43" s="117">
        <f t="shared" si="6"/>
        <v>2.9293213348331459</v>
      </c>
      <c r="E43" s="117">
        <f t="shared" si="6"/>
        <v>1.5</v>
      </c>
      <c r="F43" s="117">
        <f t="shared" si="6"/>
        <v>1.5947</v>
      </c>
      <c r="G43" s="117">
        <f t="shared" si="6"/>
        <v>4.03125</v>
      </c>
      <c r="H43" s="117">
        <f t="shared" si="6"/>
        <v>3.0775543701272059</v>
      </c>
      <c r="I43" s="117">
        <f>I13/I41</f>
        <v>1.4811023622047244</v>
      </c>
      <c r="J43" s="117">
        <f t="shared" si="6"/>
        <v>1.3077922077922077</v>
      </c>
      <c r="K43" s="117">
        <f t="shared" si="6"/>
        <v>2.3472265625000004</v>
      </c>
      <c r="L43" s="117">
        <f t="shared" si="6"/>
        <v>6.6226175349428207</v>
      </c>
      <c r="M43" s="117">
        <f t="shared" si="6"/>
        <v>2.0402800000000001</v>
      </c>
      <c r="N43" s="117">
        <f t="shared" si="6"/>
        <v>2.0579320987654319</v>
      </c>
      <c r="O43" s="117">
        <f t="shared" si="6"/>
        <v>1.8878048780487804</v>
      </c>
      <c r="P43" s="155" t="s">
        <v>37</v>
      </c>
      <c r="Q43" s="117">
        <f t="shared" ref="Q43:AC43" si="7">Q13/Q41</f>
        <v>1.3715496688741722</v>
      </c>
      <c r="R43" s="117">
        <f t="shared" si="7"/>
        <v>2.1051282051282052</v>
      </c>
      <c r="S43" s="117">
        <f t="shared" si="7"/>
        <v>2.8481012658227849</v>
      </c>
      <c r="T43" s="117">
        <f t="shared" si="7"/>
        <v>5.2489600403378294</v>
      </c>
      <c r="U43" s="117">
        <f t="shared" si="7"/>
        <v>2.8186528497409324</v>
      </c>
      <c r="V43" s="117">
        <f t="shared" si="7"/>
        <v>2.2207586933614332</v>
      </c>
      <c r="W43" s="117">
        <f t="shared" si="7"/>
        <v>2.9288214702450412</v>
      </c>
      <c r="X43" s="117">
        <f t="shared" si="7"/>
        <v>3.3196026807084729</v>
      </c>
      <c r="Y43" s="117">
        <f t="shared" si="7"/>
        <v>4.0087142857142855</v>
      </c>
      <c r="Z43" s="117">
        <f t="shared" si="7"/>
        <v>3.0111956253349956</v>
      </c>
      <c r="AA43" s="117">
        <f t="shared" si="7"/>
        <v>1.0909090909090908</v>
      </c>
      <c r="AB43" s="117">
        <f t="shared" si="7"/>
        <v>4.8139558232931723</v>
      </c>
      <c r="AC43" s="117">
        <f t="shared" si="7"/>
        <v>2.5573762376237621</v>
      </c>
    </row>
    <row r="44" spans="1:29" s="165" customFormat="1" ht="5.25" customHeight="1">
      <c r="A44" s="159"/>
      <c r="B44" s="146"/>
      <c r="C44" s="146"/>
      <c r="D44" s="146"/>
      <c r="E44" s="147"/>
      <c r="F44" s="6"/>
      <c r="G44" s="6"/>
      <c r="H44" s="146"/>
      <c r="I44" s="6"/>
      <c r="J44" s="146"/>
      <c r="K44" s="146"/>
      <c r="L44" s="146"/>
      <c r="M44" s="146"/>
      <c r="N44" s="6"/>
      <c r="O44" s="146"/>
      <c r="P44" s="159"/>
      <c r="Q44" s="146"/>
      <c r="R44" s="6"/>
      <c r="S44" s="6"/>
      <c r="T44" s="195"/>
      <c r="U44" s="6"/>
      <c r="V44" s="146"/>
      <c r="W44" s="6"/>
      <c r="X44" s="146"/>
      <c r="Y44" s="146"/>
      <c r="Z44" s="6"/>
      <c r="AA44" s="6"/>
      <c r="AB44" s="146"/>
      <c r="AC44" s="146"/>
    </row>
    <row r="45" spans="1:29" s="165" customFormat="1" ht="13" customHeight="1">
      <c r="A45" s="166" t="s">
        <v>38</v>
      </c>
      <c r="B45" s="6"/>
      <c r="C45" s="6"/>
      <c r="D45" s="6"/>
      <c r="E45" s="6"/>
      <c r="F45" s="6"/>
      <c r="G45" s="6"/>
      <c r="H45" s="6"/>
      <c r="I45" s="6"/>
      <c r="J45" s="6"/>
      <c r="K45" s="6"/>
      <c r="L45" s="6"/>
      <c r="M45" s="6"/>
      <c r="N45" s="6"/>
      <c r="O45" s="6"/>
      <c r="P45" s="166" t="s">
        <v>38</v>
      </c>
      <c r="Q45" s="6"/>
      <c r="R45" s="6"/>
      <c r="S45" s="6"/>
      <c r="T45" s="6"/>
      <c r="U45" s="6"/>
      <c r="V45" s="6"/>
      <c r="W45" s="6"/>
      <c r="X45" s="6"/>
      <c r="Y45" s="6"/>
      <c r="Z45" s="6"/>
      <c r="AA45" s="6"/>
      <c r="AB45" s="6"/>
      <c r="AC45" s="6"/>
    </row>
    <row r="46" spans="1:29" s="165" customFormat="1" ht="9.25" customHeight="1">
      <c r="A46" s="159"/>
      <c r="B46" s="6"/>
      <c r="C46" s="6"/>
      <c r="D46" s="6"/>
      <c r="E46" s="147"/>
      <c r="F46" s="6"/>
      <c r="G46" s="6"/>
      <c r="H46" s="6"/>
      <c r="I46" s="6"/>
      <c r="J46" s="6"/>
      <c r="K46" s="6"/>
      <c r="L46" s="6"/>
      <c r="M46" s="6"/>
      <c r="N46" s="6"/>
      <c r="O46" s="6"/>
      <c r="P46" s="159"/>
      <c r="Q46" s="6"/>
      <c r="R46" s="6"/>
      <c r="S46" s="6"/>
      <c r="T46" s="6"/>
      <c r="U46" s="6"/>
      <c r="V46" s="6"/>
      <c r="W46" s="6"/>
      <c r="X46" s="6"/>
      <c r="Y46" s="6"/>
      <c r="Z46" s="6"/>
      <c r="AA46" s="6"/>
      <c r="AB46" s="6"/>
      <c r="AC46" s="6"/>
    </row>
    <row r="47" spans="1:29" s="165" customFormat="1" ht="13" customHeight="1">
      <c r="A47" s="155" t="s">
        <v>29</v>
      </c>
      <c r="B47" s="143">
        <v>0.2</v>
      </c>
      <c r="C47" s="6"/>
      <c r="D47" s="6"/>
      <c r="E47" s="143"/>
      <c r="F47" s="6"/>
      <c r="G47" s="6"/>
      <c r="H47" s="6"/>
      <c r="I47" s="6"/>
      <c r="J47" s="6"/>
      <c r="K47" s="6"/>
      <c r="L47" s="6"/>
      <c r="M47" s="6"/>
      <c r="N47" s="6"/>
      <c r="O47" s="6"/>
      <c r="P47" s="155" t="s">
        <v>29</v>
      </c>
      <c r="Q47" s="6"/>
      <c r="R47" s="6"/>
      <c r="S47" s="6"/>
      <c r="T47" s="143">
        <v>0.17</v>
      </c>
      <c r="U47" s="6"/>
      <c r="V47" s="6"/>
      <c r="W47" s="6"/>
      <c r="X47" s="143">
        <v>0.23</v>
      </c>
      <c r="Y47" s="143"/>
      <c r="Z47" s="6"/>
      <c r="AA47" s="6"/>
      <c r="AB47" s="6"/>
      <c r="AC47" s="6"/>
    </row>
    <row r="48" spans="1:29" s="165" customFormat="1" ht="13" customHeight="1">
      <c r="A48" s="155" t="s">
        <v>30</v>
      </c>
      <c r="B48" s="143">
        <v>0.2</v>
      </c>
      <c r="C48" s="6" t="s">
        <v>39</v>
      </c>
      <c r="D48" s="6" t="s">
        <v>39</v>
      </c>
      <c r="E48" s="6" t="s">
        <v>39</v>
      </c>
      <c r="F48" s="6" t="s">
        <v>39</v>
      </c>
      <c r="G48" s="6" t="s">
        <v>39</v>
      </c>
      <c r="H48" s="6" t="s">
        <v>39</v>
      </c>
      <c r="I48" s="6" t="s">
        <v>39</v>
      </c>
      <c r="J48" s="6" t="s">
        <v>39</v>
      </c>
      <c r="K48" s="6" t="s">
        <v>39</v>
      </c>
      <c r="L48" s="6" t="s">
        <v>39</v>
      </c>
      <c r="M48" s="6" t="s">
        <v>39</v>
      </c>
      <c r="N48" s="6" t="s">
        <v>39</v>
      </c>
      <c r="O48" s="6" t="s">
        <v>39</v>
      </c>
      <c r="P48" s="155" t="s">
        <v>30</v>
      </c>
      <c r="Q48" s="6" t="s">
        <v>39</v>
      </c>
      <c r="R48" s="6" t="s">
        <v>39</v>
      </c>
      <c r="S48" s="6" t="s">
        <v>39</v>
      </c>
      <c r="T48" s="143">
        <v>0.17</v>
      </c>
      <c r="U48" s="6" t="s">
        <v>39</v>
      </c>
      <c r="V48" s="6" t="s">
        <v>39</v>
      </c>
      <c r="W48" s="6" t="s">
        <v>39</v>
      </c>
      <c r="X48" s="143">
        <v>0.23</v>
      </c>
      <c r="Y48" s="143" t="s">
        <v>39</v>
      </c>
      <c r="Z48" s="6" t="s">
        <v>39</v>
      </c>
      <c r="AA48" s="6" t="s">
        <v>39</v>
      </c>
      <c r="AB48" s="6" t="s">
        <v>39</v>
      </c>
      <c r="AC48" s="6" t="s">
        <v>39</v>
      </c>
    </row>
    <row r="49" spans="1:29" s="165" customFormat="1" ht="13" customHeight="1">
      <c r="A49" s="155" t="s">
        <v>40</v>
      </c>
      <c r="B49" s="143" t="s">
        <v>151</v>
      </c>
      <c r="C49" s="143">
        <v>0.21</v>
      </c>
      <c r="D49" s="143">
        <v>0.2</v>
      </c>
      <c r="E49" s="143">
        <v>0.25</v>
      </c>
      <c r="F49" s="143">
        <v>0.19</v>
      </c>
      <c r="G49" s="143">
        <v>0.21</v>
      </c>
      <c r="H49" s="143">
        <v>0.25</v>
      </c>
      <c r="I49" s="143">
        <v>0.2</v>
      </c>
      <c r="J49" s="143">
        <v>0.24</v>
      </c>
      <c r="K49" s="143">
        <v>0.2</v>
      </c>
      <c r="L49" s="143">
        <v>0.19</v>
      </c>
      <c r="M49" s="143">
        <v>0.24</v>
      </c>
      <c r="N49" s="143">
        <v>0.27</v>
      </c>
      <c r="O49" s="143">
        <v>0.21</v>
      </c>
      <c r="P49" s="155" t="s">
        <v>40</v>
      </c>
      <c r="Q49" s="143">
        <v>0.22</v>
      </c>
      <c r="R49" s="143">
        <v>0.21</v>
      </c>
      <c r="S49" s="143">
        <v>0.21</v>
      </c>
      <c r="T49" s="143">
        <v>0.14000000000000001</v>
      </c>
      <c r="U49" s="143">
        <v>0.18</v>
      </c>
      <c r="V49" s="143">
        <v>0.21</v>
      </c>
      <c r="W49" s="143">
        <v>0.23</v>
      </c>
      <c r="X49" s="143">
        <v>0.13</v>
      </c>
      <c r="Y49" s="143">
        <v>0.19</v>
      </c>
      <c r="Z49" s="143">
        <v>0.2</v>
      </c>
      <c r="AA49" s="143">
        <v>0.22</v>
      </c>
      <c r="AB49" s="143">
        <v>0.21</v>
      </c>
      <c r="AC49" s="143">
        <v>0.25</v>
      </c>
    </row>
    <row r="50" spans="1:29" s="165" customFormat="1" ht="13" customHeight="1">
      <c r="A50" s="155" t="s">
        <v>36</v>
      </c>
      <c r="B50" s="143">
        <v>0.2</v>
      </c>
      <c r="C50" s="6"/>
      <c r="D50" s="6"/>
      <c r="E50" s="143"/>
      <c r="F50" s="6"/>
      <c r="G50" s="6"/>
      <c r="H50" s="6"/>
      <c r="I50" s="6"/>
      <c r="J50" s="6"/>
      <c r="K50" s="6"/>
      <c r="L50" s="6"/>
      <c r="M50" s="6"/>
      <c r="N50" s="6"/>
      <c r="O50" s="6"/>
      <c r="P50" s="155" t="s">
        <v>36</v>
      </c>
      <c r="Q50" s="6"/>
      <c r="R50" s="6"/>
      <c r="S50" s="6"/>
      <c r="T50" s="143">
        <v>0.17</v>
      </c>
      <c r="U50" s="6"/>
      <c r="V50" s="6"/>
      <c r="W50" s="6"/>
      <c r="X50" s="143">
        <v>0.23</v>
      </c>
      <c r="Y50" s="143"/>
      <c r="Z50" s="6"/>
      <c r="AA50" s="6"/>
      <c r="AB50" s="6"/>
      <c r="AC50" s="6"/>
    </row>
    <row r="51" spans="1:29" s="165" customFormat="1" ht="11.25" customHeight="1">
      <c r="A51" s="159"/>
      <c r="B51" s="6"/>
      <c r="C51" s="6"/>
      <c r="D51" s="6"/>
      <c r="E51" s="169"/>
      <c r="F51" s="6"/>
      <c r="G51" s="6"/>
      <c r="H51" s="6"/>
      <c r="I51" s="6"/>
      <c r="J51" s="6"/>
      <c r="K51" s="6"/>
      <c r="L51" s="6"/>
      <c r="M51" s="6"/>
      <c r="N51" s="6"/>
      <c r="O51" s="6"/>
      <c r="P51" s="159"/>
      <c r="Q51" s="6"/>
      <c r="R51" s="6"/>
      <c r="S51" s="6"/>
      <c r="T51" s="6"/>
      <c r="U51" s="6"/>
      <c r="V51" s="6"/>
      <c r="W51" s="6"/>
      <c r="X51" s="6"/>
      <c r="Y51" s="6"/>
      <c r="Z51" s="6"/>
      <c r="AA51" s="6"/>
      <c r="AB51" s="6"/>
      <c r="AC51" s="6"/>
    </row>
    <row r="52" spans="1:29" s="165" customFormat="1" ht="13" customHeight="1">
      <c r="A52" s="196" t="s">
        <v>41</v>
      </c>
      <c r="B52" s="6"/>
      <c r="C52" s="6"/>
      <c r="D52" s="6"/>
      <c r="E52" s="169"/>
      <c r="F52" s="6"/>
      <c r="G52" s="6"/>
      <c r="H52" s="6"/>
      <c r="I52" s="6"/>
      <c r="J52" s="6"/>
      <c r="K52" s="6"/>
      <c r="L52" s="6"/>
      <c r="M52" s="6"/>
      <c r="N52" s="6"/>
      <c r="O52" s="6"/>
      <c r="P52" s="196" t="s">
        <v>41</v>
      </c>
      <c r="Q52" s="6"/>
      <c r="R52" s="6"/>
      <c r="S52" s="6"/>
      <c r="T52" s="6"/>
      <c r="U52" s="6"/>
      <c r="V52" s="6"/>
      <c r="W52" s="6"/>
      <c r="X52" s="6"/>
      <c r="Y52" s="6"/>
      <c r="Z52" s="6"/>
      <c r="AA52" s="6"/>
      <c r="AB52" s="6"/>
      <c r="AC52" s="6"/>
    </row>
    <row r="53" spans="1:29" s="165" customFormat="1" ht="13" customHeight="1">
      <c r="A53" s="159" t="s">
        <v>64</v>
      </c>
      <c r="B53" s="6" t="s">
        <v>43</v>
      </c>
      <c r="C53" s="6" t="s">
        <v>42</v>
      </c>
      <c r="D53" s="6" t="s">
        <v>42</v>
      </c>
      <c r="E53" s="6" t="s">
        <v>42</v>
      </c>
      <c r="F53" s="6" t="s">
        <v>43</v>
      </c>
      <c r="G53" s="6" t="s">
        <v>43</v>
      </c>
      <c r="H53" s="6" t="s">
        <v>42</v>
      </c>
      <c r="I53" s="6" t="s">
        <v>42</v>
      </c>
      <c r="J53" s="6" t="s">
        <v>42</v>
      </c>
      <c r="K53" s="6" t="s">
        <v>42</v>
      </c>
      <c r="L53" s="6" t="s">
        <v>43</v>
      </c>
      <c r="M53" s="6" t="s">
        <v>42</v>
      </c>
      <c r="N53" s="6" t="s">
        <v>42</v>
      </c>
      <c r="O53" s="6" t="s">
        <v>43</v>
      </c>
      <c r="P53" s="159" t="s">
        <v>64</v>
      </c>
      <c r="Q53" s="6" t="s">
        <v>43</v>
      </c>
      <c r="R53" s="6" t="s">
        <v>42</v>
      </c>
      <c r="S53" s="6" t="s">
        <v>43</v>
      </c>
      <c r="T53" s="6" t="s">
        <v>43</v>
      </c>
      <c r="U53" s="6" t="s">
        <v>42</v>
      </c>
      <c r="V53" s="6" t="s">
        <v>43</v>
      </c>
      <c r="W53" s="6" t="s">
        <v>42</v>
      </c>
      <c r="X53" s="6" t="s">
        <v>42</v>
      </c>
      <c r="Y53" s="6" t="s">
        <v>43</v>
      </c>
      <c r="Z53" s="6" t="s">
        <v>42</v>
      </c>
      <c r="AA53" s="6" t="s">
        <v>43</v>
      </c>
      <c r="AB53" s="6" t="s">
        <v>43</v>
      </c>
      <c r="AC53" s="6" t="s">
        <v>43</v>
      </c>
    </row>
    <row r="54" spans="1:29" ht="11.4">
      <c r="E54" s="197"/>
    </row>
    <row r="55" spans="1:29" ht="11.4">
      <c r="E55" s="197"/>
    </row>
    <row r="56" spans="1:29" ht="11.4">
      <c r="E56" s="197"/>
    </row>
    <row r="57" spans="1:29" ht="11.4">
      <c r="E57" s="197"/>
    </row>
    <row r="58" spans="1:29" ht="11.4">
      <c r="E58" s="197"/>
    </row>
    <row r="59" spans="1:29" ht="11.4">
      <c r="E59" s="197"/>
    </row>
    <row r="60" spans="1:29" ht="11.4">
      <c r="E60" s="197"/>
    </row>
    <row r="61" spans="1:29" ht="11.4">
      <c r="E61" s="197"/>
    </row>
    <row r="62" spans="1:29" ht="11.4">
      <c r="E62" s="197"/>
    </row>
    <row r="63" spans="1:29" ht="11.4">
      <c r="E63" s="197"/>
    </row>
    <row r="64" spans="1:29" ht="11.4">
      <c r="E64" s="197"/>
    </row>
    <row r="65" spans="5:5" ht="11.4">
      <c r="E65" s="197"/>
    </row>
    <row r="66" spans="5:5" ht="11.4">
      <c r="E66" s="197"/>
    </row>
    <row r="67" spans="5:5" ht="11.4">
      <c r="E67" s="197"/>
    </row>
    <row r="68" spans="5:5" ht="11.4">
      <c r="E68" s="197"/>
    </row>
    <row r="69" spans="5:5" ht="11.4">
      <c r="E69" s="197"/>
    </row>
    <row r="70" spans="5:5" ht="11.4">
      <c r="E70" s="197"/>
    </row>
    <row r="71" spans="5:5" ht="11.4">
      <c r="E71" s="197"/>
    </row>
    <row r="72" spans="5:5" ht="11.4">
      <c r="E72" s="197"/>
    </row>
    <row r="73" spans="5:5" ht="11.4">
      <c r="E73" s="197"/>
    </row>
    <row r="74" spans="5:5" ht="11.4">
      <c r="E74" s="197"/>
    </row>
    <row r="75" spans="5:5" ht="11.4">
      <c r="E75" s="197"/>
    </row>
    <row r="76" spans="5:5" ht="11.4">
      <c r="E76" s="197"/>
    </row>
    <row r="77" spans="5:5" ht="11.4">
      <c r="E77" s="197"/>
    </row>
    <row r="78" spans="5:5" ht="11.4">
      <c r="E78" s="197"/>
    </row>
    <row r="79" spans="5:5" ht="11.4">
      <c r="E79" s="197"/>
    </row>
    <row r="80" spans="5:5" ht="11.4">
      <c r="E80" s="197"/>
    </row>
    <row r="81" spans="5:5" ht="11.4">
      <c r="E81" s="197"/>
    </row>
    <row r="82" spans="5:5" ht="11.4">
      <c r="E82" s="197"/>
    </row>
    <row r="83" spans="5:5" ht="11.4">
      <c r="E83" s="197"/>
    </row>
    <row r="84" spans="5:5" ht="11.4">
      <c r="E84" s="197"/>
    </row>
    <row r="85" spans="5:5" ht="11.4">
      <c r="E85" s="197"/>
    </row>
    <row r="86" spans="5:5" ht="11.4">
      <c r="E86" s="197"/>
    </row>
    <row r="87" spans="5:5" ht="11.4">
      <c r="E87" s="197"/>
    </row>
    <row r="88" spans="5:5" ht="11.4">
      <c r="E88" s="197"/>
    </row>
    <row r="89" spans="5:5" ht="11.4">
      <c r="E89" s="197"/>
    </row>
    <row r="90" spans="5:5" ht="11.4">
      <c r="E90" s="197"/>
    </row>
    <row r="91" spans="5:5" ht="11.4">
      <c r="E91" s="197"/>
    </row>
    <row r="92" spans="5:5" ht="11.4">
      <c r="E92" s="197"/>
    </row>
    <row r="93" spans="5:5" ht="11.4">
      <c r="E93" s="197"/>
    </row>
    <row r="94" spans="5:5" ht="11.4">
      <c r="E94" s="197"/>
    </row>
    <row r="95" spans="5:5" ht="11.4">
      <c r="E95" s="197"/>
    </row>
    <row r="96" spans="5:5" ht="11.4">
      <c r="E96" s="197"/>
    </row>
    <row r="97" spans="5:5" ht="11.4">
      <c r="E97" s="197"/>
    </row>
    <row r="98" spans="5:5" ht="11.4">
      <c r="E98" s="197"/>
    </row>
    <row r="99" spans="5:5" ht="11.4">
      <c r="E99" s="197"/>
    </row>
    <row r="100" spans="5:5" ht="11.4">
      <c r="E100" s="197"/>
    </row>
    <row r="101" spans="5:5" ht="11.4">
      <c r="E101" s="197"/>
    </row>
    <row r="102" spans="5:5" ht="11.4">
      <c r="E102" s="197"/>
    </row>
  </sheetData>
  <mergeCells count="4">
    <mergeCell ref="P1:AC1"/>
    <mergeCell ref="P2:AC2"/>
    <mergeCell ref="A1:O1"/>
    <mergeCell ref="A2:O2"/>
  </mergeCells>
  <phoneticPr fontId="0" type="noConversion"/>
  <pageMargins left="0.31496062992125984" right="0.31496062992125984" top="0.31496062992125984" bottom="0.31496062992125984" header="0.19685039370078741" footer="0.19685039370078741"/>
  <pageSetup paperSize="9" fitToWidth="0" orientation="landscape" r:id="rId1"/>
  <colBreaks count="1" manualBreakCount="1">
    <brk id="15" max="5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4"/>
  <sheetViews>
    <sheetView zoomScaleNormal="100" zoomScaleSheetLayoutView="100" workbookViewId="0">
      <selection activeCell="A10" sqref="A10"/>
    </sheetView>
  </sheetViews>
  <sheetFormatPr defaultColWidth="9.109375" defaultRowHeight="12.6"/>
  <cols>
    <col min="1" max="1" width="38.109375" style="199" bestFit="1" customWidth="1"/>
    <col min="2" max="4" width="15.83203125" style="199" customWidth="1"/>
    <col min="5" max="5" width="2.27734375" style="199" customWidth="1"/>
    <col min="6" max="9" width="10.71875" style="199" customWidth="1"/>
    <col min="10" max="10" width="6.1640625" style="199" bestFit="1" customWidth="1"/>
    <col min="11" max="11" width="2.27734375" style="199" customWidth="1"/>
    <col min="12" max="12" width="13.5" style="199" customWidth="1"/>
    <col min="13" max="13" width="32.83203125" style="199" customWidth="1"/>
    <col min="14" max="16384" width="9.109375" style="199"/>
  </cols>
  <sheetData>
    <row r="1" spans="1:30" s="200" customFormat="1" ht="31.5" customHeight="1">
      <c r="A1" s="232" t="s">
        <v>185</v>
      </c>
      <c r="B1" s="232"/>
      <c r="C1" s="232"/>
      <c r="D1" s="232"/>
      <c r="E1" s="232"/>
      <c r="F1" s="232"/>
      <c r="G1" s="232"/>
      <c r="H1" s="232"/>
      <c r="I1" s="232"/>
      <c r="J1" s="232"/>
      <c r="K1" s="232"/>
      <c r="L1" s="232"/>
      <c r="M1" s="232"/>
    </row>
    <row r="2" spans="1:30" s="200" customFormat="1" ht="21.75" customHeight="1">
      <c r="A2" s="201"/>
      <c r="B2" s="229" t="s">
        <v>102</v>
      </c>
      <c r="C2" s="230"/>
      <c r="D2" s="230"/>
      <c r="E2" s="202"/>
      <c r="F2" s="231" t="s">
        <v>103</v>
      </c>
      <c r="G2" s="230"/>
      <c r="H2" s="230"/>
      <c r="I2" s="230"/>
      <c r="J2" s="230"/>
      <c r="K2" s="202"/>
      <c r="L2" s="229" t="s">
        <v>186</v>
      </c>
      <c r="M2" s="229"/>
    </row>
    <row r="3" spans="1:30" s="151" customFormat="1" ht="3" customHeight="1">
      <c r="A3" s="152"/>
      <c r="B3" s="153"/>
      <c r="C3" s="153"/>
      <c r="D3" s="153"/>
      <c r="E3" s="203"/>
      <c r="F3" s="153"/>
      <c r="G3" s="153"/>
      <c r="H3" s="153"/>
      <c r="I3" s="153"/>
      <c r="J3" s="153"/>
      <c r="K3" s="203"/>
      <c r="L3" s="152"/>
      <c r="N3" s="153"/>
      <c r="O3" s="153"/>
      <c r="P3" s="153"/>
      <c r="Q3" s="152"/>
      <c r="R3" s="154"/>
      <c r="S3" s="154"/>
      <c r="T3" s="154"/>
      <c r="U3" s="154"/>
      <c r="V3" s="154"/>
      <c r="W3" s="154"/>
      <c r="X3" s="154"/>
      <c r="Y3" s="154"/>
      <c r="Z3" s="154"/>
      <c r="AA3" s="154"/>
      <c r="AB3" s="154"/>
      <c r="AC3" s="154"/>
      <c r="AD3" s="154"/>
    </row>
    <row r="4" spans="1:30" s="197" customFormat="1" ht="12.75" customHeight="1">
      <c r="A4" s="165"/>
      <c r="B4" s="156" t="s">
        <v>44</v>
      </c>
      <c r="C4" s="156" t="s">
        <v>45</v>
      </c>
      <c r="D4" s="156" t="s">
        <v>46</v>
      </c>
      <c r="E4" s="204"/>
      <c r="F4" s="156" t="s">
        <v>144</v>
      </c>
      <c r="G4" s="156" t="s">
        <v>90</v>
      </c>
      <c r="H4" s="156" t="s">
        <v>92</v>
      </c>
      <c r="I4" s="156" t="s">
        <v>94</v>
      </c>
      <c r="J4" s="156" t="s">
        <v>82</v>
      </c>
      <c r="K4" s="204"/>
      <c r="L4" s="144" t="s">
        <v>27</v>
      </c>
    </row>
    <row r="5" spans="1:30" s="197" customFormat="1" ht="12.75" customHeight="1">
      <c r="A5" s="165"/>
      <c r="B5" s="156" t="s">
        <v>47</v>
      </c>
      <c r="C5" s="156" t="s">
        <v>48</v>
      </c>
      <c r="D5" s="156" t="s">
        <v>107</v>
      </c>
      <c r="E5" s="204"/>
      <c r="F5" s="156" t="s">
        <v>145</v>
      </c>
      <c r="G5" s="156" t="s">
        <v>91</v>
      </c>
      <c r="H5" s="156" t="s">
        <v>93</v>
      </c>
      <c r="I5" s="156" t="s">
        <v>95</v>
      </c>
      <c r="J5" s="156" t="s">
        <v>111</v>
      </c>
      <c r="K5" s="204"/>
      <c r="L5" s="144" t="s">
        <v>115</v>
      </c>
    </row>
    <row r="6" spans="1:30" s="141" customFormat="1" ht="11.7">
      <c r="A6" s="141" t="s">
        <v>184</v>
      </c>
      <c r="B6" s="205">
        <v>162.19999999999999</v>
      </c>
      <c r="C6" s="158">
        <v>10.907299999999999</v>
      </c>
      <c r="D6" s="158">
        <v>1.0787</v>
      </c>
      <c r="E6" s="158"/>
      <c r="F6" s="141">
        <v>123.76</v>
      </c>
      <c r="G6" s="141">
        <v>61.696300000000001</v>
      </c>
      <c r="I6" s="141">
        <v>117.5959</v>
      </c>
      <c r="J6" s="141">
        <v>9.0606000000000009</v>
      </c>
      <c r="K6" s="158"/>
      <c r="L6" s="158">
        <v>0.90722999999999998</v>
      </c>
    </row>
    <row r="7" spans="1:30" s="197" customFormat="1" ht="5.25" customHeight="1">
      <c r="A7" s="206"/>
      <c r="B7" s="160"/>
      <c r="C7" s="160"/>
      <c r="D7" s="160"/>
      <c r="E7" s="207"/>
      <c r="F7" s="161"/>
      <c r="G7" s="161"/>
      <c r="H7" s="161"/>
      <c r="I7" s="161"/>
      <c r="J7" s="208"/>
      <c r="K7" s="207"/>
      <c r="L7" s="160"/>
    </row>
    <row r="8" spans="1:30" s="197" customFormat="1" ht="11.7">
      <c r="A8" s="209" t="s">
        <v>28</v>
      </c>
      <c r="B8" s="194"/>
      <c r="C8" s="6"/>
      <c r="D8" s="6"/>
      <c r="E8" s="210"/>
      <c r="F8" s="6"/>
      <c r="G8" s="6"/>
      <c r="H8" s="6"/>
      <c r="I8" s="6"/>
      <c r="J8" s="6"/>
      <c r="K8" s="210"/>
      <c r="L8" s="6"/>
    </row>
    <row r="9" spans="1:30" s="197" customFormat="1" ht="5.25" customHeight="1">
      <c r="A9" s="211"/>
      <c r="B9" s="6"/>
      <c r="C9" s="6"/>
      <c r="D9" s="6"/>
      <c r="E9" s="210"/>
      <c r="F9" s="6"/>
      <c r="G9" s="6"/>
      <c r="H9" s="6"/>
      <c r="I9" s="6"/>
      <c r="J9" s="6"/>
      <c r="K9" s="210"/>
      <c r="L9" s="6"/>
    </row>
    <row r="10" spans="1:30" s="197" customFormat="1" ht="12.75" customHeight="1">
      <c r="A10" s="209" t="s">
        <v>29</v>
      </c>
      <c r="B10" s="113"/>
      <c r="C10" s="6"/>
      <c r="D10" s="6"/>
      <c r="E10" s="210"/>
      <c r="F10" s="169"/>
      <c r="G10" s="169"/>
      <c r="H10" s="169"/>
      <c r="I10" s="169"/>
      <c r="J10" s="6"/>
      <c r="K10" s="210"/>
      <c r="L10" s="6"/>
    </row>
    <row r="11" spans="1:30" s="197" customFormat="1" ht="12.75" customHeight="1">
      <c r="A11" s="211" t="s">
        <v>49</v>
      </c>
      <c r="B11" s="1">
        <v>1587500</v>
      </c>
      <c r="C11" s="1">
        <f>8.11*100*100</f>
        <v>81100</v>
      </c>
      <c r="D11" s="1">
        <v>2900</v>
      </c>
      <c r="E11" s="212"/>
      <c r="F11" s="2">
        <v>84500</v>
      </c>
      <c r="G11" s="2">
        <v>34000</v>
      </c>
      <c r="H11" s="2"/>
      <c r="I11" s="2">
        <f>343.7/0.4*100</f>
        <v>85924.999999999985</v>
      </c>
      <c r="J11" s="213">
        <v>32699.29</v>
      </c>
      <c r="K11" s="212"/>
      <c r="L11" s="1">
        <v>2874</v>
      </c>
    </row>
    <row r="12" spans="1:30" s="197" customFormat="1" ht="5.25" customHeight="1">
      <c r="A12" s="211"/>
      <c r="B12" s="6"/>
      <c r="C12" s="6"/>
      <c r="D12" s="6"/>
      <c r="E12" s="210"/>
      <c r="F12" s="144"/>
      <c r="G12" s="144"/>
      <c r="H12" s="144"/>
      <c r="I12" s="144"/>
      <c r="J12" s="6"/>
      <c r="K12" s="210"/>
      <c r="L12" s="2"/>
    </row>
    <row r="13" spans="1:30" s="197" customFormat="1" ht="12.75" customHeight="1">
      <c r="A13" s="214" t="s">
        <v>83</v>
      </c>
      <c r="B13" s="9">
        <f>B11/B6</f>
        <v>9787.2996300863142</v>
      </c>
      <c r="C13" s="9">
        <f>C11/C6</f>
        <v>7435.3873094166293</v>
      </c>
      <c r="D13" s="9">
        <f>D11/D6</f>
        <v>2688.4212477982755</v>
      </c>
      <c r="E13" s="215"/>
      <c r="F13" s="9">
        <f>F11/F6</f>
        <v>682.77310924369749</v>
      </c>
      <c r="G13" s="9">
        <f>G11/G6</f>
        <v>551.08653193141242</v>
      </c>
      <c r="H13" s="9">
        <v>1250</v>
      </c>
      <c r="I13" s="9">
        <f>I11/I6</f>
        <v>730.68023630075527</v>
      </c>
      <c r="J13" s="9">
        <f>J11/J6</f>
        <v>3608.9541531465907</v>
      </c>
      <c r="K13" s="215"/>
      <c r="L13" s="128">
        <f>L11/L6</f>
        <v>3167.884659898813</v>
      </c>
    </row>
    <row r="14" spans="1:30" s="197" customFormat="1" ht="5.25" customHeight="1">
      <c r="A14" s="214"/>
      <c r="B14" s="9"/>
      <c r="C14" s="9"/>
      <c r="D14" s="9"/>
      <c r="E14" s="215"/>
      <c r="F14" s="6"/>
      <c r="G14" s="6"/>
      <c r="H14" s="6"/>
      <c r="I14" s="6"/>
      <c r="J14" s="6"/>
      <c r="K14" s="215"/>
      <c r="L14" s="113"/>
    </row>
    <row r="15" spans="1:30" s="197" customFormat="1" ht="12.75" customHeight="1">
      <c r="A15" s="209" t="s">
        <v>30</v>
      </c>
      <c r="B15" s="6"/>
      <c r="C15" s="6"/>
      <c r="D15" s="6"/>
      <c r="E15" s="210"/>
      <c r="F15" s="6"/>
      <c r="G15" s="6"/>
      <c r="H15" s="6"/>
      <c r="I15" s="6"/>
      <c r="J15" s="6"/>
      <c r="K15" s="210"/>
      <c r="L15" s="6"/>
    </row>
    <row r="16" spans="1:30" s="197" customFormat="1" ht="12.75" customHeight="1">
      <c r="A16" s="211" t="s">
        <v>65</v>
      </c>
      <c r="B16" s="3">
        <f>B18*0.18</f>
        <v>285750</v>
      </c>
      <c r="C16" s="3">
        <f>C18*0.18</f>
        <v>8568</v>
      </c>
      <c r="D16" s="189">
        <v>261</v>
      </c>
      <c r="E16" s="216"/>
      <c r="F16" s="2">
        <v>5200</v>
      </c>
      <c r="G16" s="2">
        <f>G18*0.18</f>
        <v>6120</v>
      </c>
      <c r="H16" s="2">
        <v>100</v>
      </c>
      <c r="I16" s="2">
        <v>0</v>
      </c>
      <c r="J16" s="2">
        <v>9528.9</v>
      </c>
      <c r="K16" s="216"/>
      <c r="L16" s="116">
        <v>396.72</v>
      </c>
    </row>
    <row r="17" spans="1:12" s="197" customFormat="1" ht="5.25" customHeight="1">
      <c r="A17" s="211"/>
      <c r="B17" s="6"/>
      <c r="C17" s="6"/>
      <c r="D17" s="6"/>
      <c r="E17" s="210"/>
      <c r="F17" s="2"/>
      <c r="G17" s="2"/>
      <c r="H17" s="2"/>
      <c r="I17" s="10"/>
      <c r="J17" s="2"/>
      <c r="K17" s="210"/>
      <c r="L17" s="6"/>
    </row>
    <row r="18" spans="1:12" s="197" customFormat="1" ht="12.75" customHeight="1">
      <c r="A18" s="211" t="s">
        <v>50</v>
      </c>
      <c r="B18" s="1">
        <v>1587500</v>
      </c>
      <c r="C18" s="2">
        <f>4.76*100*100</f>
        <v>47600</v>
      </c>
      <c r="D18" s="2">
        <f>D16/18%</f>
        <v>1450</v>
      </c>
      <c r="E18" s="217"/>
      <c r="F18" s="2">
        <f>F16/18%</f>
        <v>28888.888888888891</v>
      </c>
      <c r="G18" s="2">
        <v>34000</v>
      </c>
      <c r="H18" s="2"/>
      <c r="I18" s="2">
        <f>I16/18*100</f>
        <v>0</v>
      </c>
      <c r="J18" s="2">
        <f>J16/18*100</f>
        <v>52938.333333333336</v>
      </c>
      <c r="K18" s="217"/>
      <c r="L18" s="2">
        <f xml:space="preserve"> L16/18%</f>
        <v>2204.0000000000005</v>
      </c>
    </row>
    <row r="19" spans="1:12" s="197" customFormat="1" ht="12.75" customHeight="1">
      <c r="A19" s="211" t="s">
        <v>32</v>
      </c>
      <c r="B19" s="6"/>
      <c r="C19" s="6"/>
      <c r="D19" s="6"/>
      <c r="E19" s="210"/>
      <c r="F19" s="6"/>
      <c r="G19" s="6"/>
      <c r="H19" s="6"/>
      <c r="I19" s="145"/>
      <c r="J19" s="2"/>
      <c r="K19" s="210"/>
      <c r="L19" s="6"/>
    </row>
    <row r="20" spans="1:12" s="197" customFormat="1" ht="5.25" customHeight="1">
      <c r="A20" s="211"/>
      <c r="B20" s="6"/>
      <c r="C20" s="6"/>
      <c r="D20" s="6"/>
      <c r="E20" s="210"/>
      <c r="F20" s="6"/>
      <c r="G20" s="6"/>
      <c r="H20" s="6"/>
      <c r="I20" s="145"/>
      <c r="J20" s="6"/>
      <c r="K20" s="210"/>
      <c r="L20" s="6"/>
    </row>
    <row r="21" spans="1:12" s="197" customFormat="1" ht="12.75" customHeight="1">
      <c r="A21" s="214" t="s">
        <v>83</v>
      </c>
      <c r="B21" s="9">
        <f>B18/B6</f>
        <v>9787.2996300863142</v>
      </c>
      <c r="C21" s="9">
        <f>C18/C6</f>
        <v>4364.0497648363944</v>
      </c>
      <c r="D21" s="9">
        <f>D18/D6</f>
        <v>1344.2106238991378</v>
      </c>
      <c r="E21" s="215"/>
      <c r="F21" s="9">
        <f>F18/F6</f>
        <v>233.4267040149393</v>
      </c>
      <c r="G21" s="9">
        <f>G18/G6</f>
        <v>551.08653193141242</v>
      </c>
      <c r="H21" s="9">
        <f>H16/18%</f>
        <v>555.55555555555554</v>
      </c>
      <c r="I21" s="9">
        <f>I18/I6</f>
        <v>0</v>
      </c>
      <c r="J21" s="9">
        <f>J18/J6</f>
        <v>5842.6962158503111</v>
      </c>
      <c r="K21" s="215"/>
      <c r="L21" s="128">
        <f>L18/L6</f>
        <v>2429.3729263803011</v>
      </c>
    </row>
    <row r="22" spans="1:12" s="197" customFormat="1" ht="5.25" customHeight="1">
      <c r="A22" s="211"/>
      <c r="B22" s="6"/>
      <c r="C22" s="6"/>
      <c r="D22" s="6"/>
      <c r="E22" s="210"/>
      <c r="F22" s="6"/>
      <c r="G22" s="6"/>
      <c r="H22" s="6"/>
      <c r="I22" s="145"/>
      <c r="J22" s="6"/>
      <c r="K22" s="210"/>
      <c r="L22" s="6"/>
    </row>
    <row r="23" spans="1:12" s="197" customFormat="1" ht="12.75" customHeight="1">
      <c r="A23" s="214" t="s">
        <v>33</v>
      </c>
      <c r="B23" s="117">
        <f>B13/B21</f>
        <v>1</v>
      </c>
      <c r="C23" s="117">
        <f>C13/C21</f>
        <v>1.703781512605042</v>
      </c>
      <c r="D23" s="117">
        <f>D13/D21</f>
        <v>2</v>
      </c>
      <c r="E23" s="210"/>
      <c r="F23" s="117">
        <f>F13/F21</f>
        <v>2.9250000000000003</v>
      </c>
      <c r="G23" s="117">
        <f>G13/G21</f>
        <v>1</v>
      </c>
      <c r="H23" s="117">
        <f>H13/H21</f>
        <v>2.25</v>
      </c>
      <c r="I23" s="6" t="s">
        <v>63</v>
      </c>
      <c r="J23" s="117">
        <f>J13/J21</f>
        <v>0.61768642760444548</v>
      </c>
      <c r="K23" s="210"/>
      <c r="L23" s="117">
        <f>L13/L21</f>
        <v>1.303992740471869</v>
      </c>
    </row>
    <row r="24" spans="1:12" s="197" customFormat="1" ht="5.25" customHeight="1">
      <c r="A24" s="214"/>
      <c r="B24" s="146"/>
      <c r="C24" s="146"/>
      <c r="D24" s="146"/>
      <c r="E24" s="218"/>
      <c r="F24" s="6"/>
      <c r="G24" s="6"/>
      <c r="H24" s="6"/>
      <c r="I24" s="6"/>
      <c r="J24" s="6"/>
      <c r="K24" s="218"/>
      <c r="L24" s="146"/>
    </row>
    <row r="25" spans="1:12" s="197" customFormat="1" ht="12.75" customHeight="1">
      <c r="A25" s="209" t="s">
        <v>34</v>
      </c>
      <c r="B25" s="6"/>
      <c r="C25" s="6"/>
      <c r="D25" s="6"/>
      <c r="E25" s="210"/>
      <c r="F25" s="117"/>
      <c r="G25" s="117"/>
      <c r="H25" s="6"/>
      <c r="I25" s="6"/>
      <c r="J25" s="118"/>
      <c r="K25" s="210"/>
      <c r="L25" s="6"/>
    </row>
    <row r="26" spans="1:12" s="197" customFormat="1" ht="12.75" customHeight="1">
      <c r="A26" s="211" t="s">
        <v>67</v>
      </c>
      <c r="B26" s="180">
        <f>117.3*(11-2.25)*100</f>
        <v>102637.5</v>
      </c>
      <c r="C26" s="1">
        <f>C28*0.11</f>
        <v>5236</v>
      </c>
      <c r="D26" s="6">
        <v>0</v>
      </c>
      <c r="E26" s="210"/>
      <c r="F26" s="2">
        <v>10000</v>
      </c>
      <c r="G26" s="2">
        <v>0</v>
      </c>
      <c r="H26" s="2">
        <v>0</v>
      </c>
      <c r="I26" s="2">
        <v>0</v>
      </c>
      <c r="J26" s="2">
        <v>1176.78</v>
      </c>
      <c r="K26" s="210"/>
      <c r="L26" s="180">
        <v>297.57</v>
      </c>
    </row>
    <row r="27" spans="1:12" s="197" customFormat="1" ht="5.25" customHeight="1">
      <c r="A27" s="211"/>
      <c r="B27" s="6"/>
      <c r="C27" s="6"/>
      <c r="D27" s="6"/>
      <c r="E27" s="210"/>
      <c r="F27" s="2"/>
      <c r="G27" s="2"/>
      <c r="H27" s="2"/>
      <c r="I27" s="2"/>
      <c r="J27" s="2"/>
      <c r="K27" s="210"/>
      <c r="L27" s="6"/>
    </row>
    <row r="28" spans="1:12" s="197" customFormat="1" ht="12.75" customHeight="1">
      <c r="A28" s="211" t="s">
        <v>50</v>
      </c>
      <c r="B28" s="2">
        <f>B26/11%</f>
        <v>933068.18181818177</v>
      </c>
      <c r="C28" s="2">
        <f>4.76*100*100</f>
        <v>47600</v>
      </c>
      <c r="D28" s="2">
        <f>D26/11%</f>
        <v>0</v>
      </c>
      <c r="E28" s="217"/>
      <c r="F28" s="2">
        <f t="shared" ref="F28:I28" si="0">F26/11*100</f>
        <v>90909.090909090912</v>
      </c>
      <c r="G28" s="2">
        <f t="shared" si="0"/>
        <v>0</v>
      </c>
      <c r="H28" s="2">
        <f t="shared" si="0"/>
        <v>0</v>
      </c>
      <c r="I28" s="2">
        <f t="shared" si="0"/>
        <v>0</v>
      </c>
      <c r="J28" s="2">
        <f>J26/11*100</f>
        <v>10698</v>
      </c>
      <c r="K28" s="217"/>
      <c r="L28" s="2">
        <f>L26/11%</f>
        <v>2705.181818181818</v>
      </c>
    </row>
    <row r="29" spans="1:12" s="197" customFormat="1" ht="12.75" customHeight="1">
      <c r="A29" s="211" t="s">
        <v>32</v>
      </c>
      <c r="B29" s="219"/>
      <c r="C29" s="6"/>
      <c r="D29" s="6"/>
      <c r="E29" s="210"/>
      <c r="F29" s="6"/>
      <c r="G29" s="6"/>
      <c r="H29" s="6"/>
      <c r="I29" s="6"/>
      <c r="J29" s="6"/>
      <c r="K29" s="210"/>
      <c r="L29" s="6"/>
    </row>
    <row r="30" spans="1:12" s="197" customFormat="1" ht="5.25" customHeight="1">
      <c r="A30" s="211"/>
      <c r="B30" s="6"/>
      <c r="C30" s="6"/>
      <c r="D30" s="6"/>
      <c r="E30" s="210"/>
      <c r="F30" s="6"/>
      <c r="G30" s="6"/>
      <c r="H30" s="6"/>
      <c r="I30" s="6"/>
      <c r="J30" s="6"/>
      <c r="K30" s="210"/>
      <c r="L30" s="6"/>
    </row>
    <row r="31" spans="1:12" s="197" customFormat="1" ht="12.75" customHeight="1">
      <c r="A31" s="214" t="s">
        <v>83</v>
      </c>
      <c r="B31" s="9">
        <f>B28/B6</f>
        <v>5752.5781863019838</v>
      </c>
      <c r="C31" s="9">
        <f>C28/C6</f>
        <v>4364.0497648363944</v>
      </c>
      <c r="D31" s="9">
        <f>D28/D6</f>
        <v>0</v>
      </c>
      <c r="E31" s="215"/>
      <c r="F31" s="9">
        <f>F28/F6</f>
        <v>734.55955808896988</v>
      </c>
      <c r="G31" s="9">
        <f>G28/G6</f>
        <v>0</v>
      </c>
      <c r="H31" s="9">
        <v>0</v>
      </c>
      <c r="I31" s="9">
        <f>I28/I6</f>
        <v>0</v>
      </c>
      <c r="J31" s="9">
        <f>J28/J6</f>
        <v>1180.716508840474</v>
      </c>
      <c r="K31" s="215"/>
      <c r="L31" s="128">
        <f>L28/L6</f>
        <v>2981.8037522809191</v>
      </c>
    </row>
    <row r="32" spans="1:12" s="197" customFormat="1" ht="5.25" customHeight="1">
      <c r="A32" s="211"/>
      <c r="B32" s="6"/>
      <c r="C32" s="6"/>
      <c r="D32" s="6"/>
      <c r="E32" s="210"/>
      <c r="F32" s="6"/>
      <c r="G32" s="6"/>
      <c r="H32" s="6"/>
      <c r="I32" s="6"/>
      <c r="J32" s="6"/>
      <c r="K32" s="210"/>
      <c r="L32" s="6"/>
    </row>
    <row r="33" spans="1:12" s="197" customFormat="1" ht="12.75" customHeight="1">
      <c r="A33" s="214" t="s">
        <v>35</v>
      </c>
      <c r="B33" s="117">
        <f>B13/B31</f>
        <v>1.7013762026549752</v>
      </c>
      <c r="C33" s="117">
        <f>C13/C31</f>
        <v>1.703781512605042</v>
      </c>
      <c r="D33" s="146" t="s">
        <v>63</v>
      </c>
      <c r="E33" s="218"/>
      <c r="F33" s="117">
        <f>F13/F31</f>
        <v>0.92949999999999999</v>
      </c>
      <c r="G33" s="146" t="s">
        <v>63</v>
      </c>
      <c r="H33" s="146" t="s">
        <v>63</v>
      </c>
      <c r="I33" s="146" t="s">
        <v>63</v>
      </c>
      <c r="J33" s="118">
        <f>J13/J31</f>
        <v>3.0565797345298189</v>
      </c>
      <c r="K33" s="218"/>
      <c r="L33" s="117">
        <f>L13/L31</f>
        <v>1.0624054844238331</v>
      </c>
    </row>
    <row r="34" spans="1:12" s="197" customFormat="1" ht="5.25" customHeight="1">
      <c r="A34" s="214"/>
      <c r="B34" s="146"/>
      <c r="C34" s="146"/>
      <c r="D34" s="146"/>
      <c r="E34" s="218"/>
      <c r="F34" s="6"/>
      <c r="G34" s="6"/>
      <c r="H34" s="6"/>
      <c r="I34" s="6"/>
      <c r="J34" s="6"/>
      <c r="K34" s="218"/>
      <c r="L34" s="146"/>
    </row>
    <row r="35" spans="1:12" s="197" customFormat="1" ht="12.75" customHeight="1">
      <c r="A35" s="209" t="s">
        <v>36</v>
      </c>
      <c r="B35" s="6"/>
      <c r="C35" s="6"/>
      <c r="D35" s="6"/>
      <c r="E35" s="210"/>
      <c r="F35" s="6"/>
      <c r="G35" s="6"/>
      <c r="H35" s="6"/>
      <c r="I35" s="6"/>
      <c r="J35" s="6"/>
      <c r="K35" s="210"/>
      <c r="L35" s="6"/>
    </row>
    <row r="36" spans="1:12" s="197" customFormat="1" ht="12.75" customHeight="1">
      <c r="A36" s="211" t="s">
        <v>66</v>
      </c>
      <c r="B36" s="3">
        <f>128.8  *(5-2.25)*100</f>
        <v>35420.000000000007</v>
      </c>
      <c r="C36" s="3">
        <f>C38*0.05</f>
        <v>2380</v>
      </c>
      <c r="D36" s="116">
        <v>25.32</v>
      </c>
      <c r="E36" s="220"/>
      <c r="F36" s="2">
        <f>F38*0.05</f>
        <v>3550</v>
      </c>
      <c r="G36" s="2">
        <f>G38*0.05</f>
        <v>2000</v>
      </c>
      <c r="H36" s="2">
        <v>25</v>
      </c>
      <c r="I36" s="2">
        <f>26.1 *100</f>
        <v>2610</v>
      </c>
      <c r="J36" s="2">
        <f>J38/100*5</f>
        <v>1196.6500000000001</v>
      </c>
      <c r="K36" s="220"/>
      <c r="L36" s="188">
        <f>L38*0.05</f>
        <v>95.4</v>
      </c>
    </row>
    <row r="37" spans="1:12" s="197" customFormat="1" ht="5.25" customHeight="1">
      <c r="A37" s="211"/>
      <c r="B37" s="6"/>
      <c r="C37" s="6"/>
      <c r="D37" s="6"/>
      <c r="E37" s="210"/>
      <c r="F37" s="11"/>
      <c r="G37" s="11"/>
      <c r="H37" s="11"/>
      <c r="I37" s="11"/>
      <c r="J37" s="2"/>
      <c r="K37" s="210"/>
      <c r="L37" s="6"/>
    </row>
    <row r="38" spans="1:12" s="197" customFormat="1" ht="12.75" customHeight="1">
      <c r="A38" s="211" t="s">
        <v>31</v>
      </c>
      <c r="B38" s="2">
        <f>B36/5%</f>
        <v>708400.00000000012</v>
      </c>
      <c r="C38" s="2">
        <f>4.76*100*100</f>
        <v>47600</v>
      </c>
      <c r="D38" s="2">
        <f>D36/5%</f>
        <v>506.4</v>
      </c>
      <c r="E38" s="217"/>
      <c r="F38" s="2">
        <v>71000</v>
      </c>
      <c r="G38" s="2">
        <v>40000</v>
      </c>
      <c r="H38" s="2">
        <f>H36/5*100</f>
        <v>500</v>
      </c>
      <c r="I38" s="2">
        <f>I36/5*100</f>
        <v>52200</v>
      </c>
      <c r="J38" s="2">
        <v>23933</v>
      </c>
      <c r="K38" s="217"/>
      <c r="L38" s="2">
        <v>1908</v>
      </c>
    </row>
    <row r="39" spans="1:12" s="197" customFormat="1" ht="12.75" customHeight="1">
      <c r="A39" s="211" t="s">
        <v>32</v>
      </c>
      <c r="B39" s="221"/>
      <c r="C39" s="6"/>
      <c r="D39" s="6"/>
      <c r="E39" s="210"/>
      <c r="F39" s="6"/>
      <c r="G39" s="6"/>
      <c r="H39" s="6"/>
      <c r="I39" s="6"/>
      <c r="J39" s="6"/>
      <c r="K39" s="210"/>
      <c r="L39" s="6"/>
    </row>
    <row r="40" spans="1:12" s="197" customFormat="1" ht="5.25" customHeight="1">
      <c r="A40" s="211"/>
      <c r="B40" s="6"/>
      <c r="C40" s="6"/>
      <c r="D40" s="6"/>
      <c r="E40" s="210"/>
      <c r="F40" s="6"/>
      <c r="G40" s="6"/>
      <c r="H40" s="6"/>
      <c r="I40" s="6"/>
      <c r="J40" s="6"/>
      <c r="K40" s="210"/>
      <c r="L40" s="6"/>
    </row>
    <row r="41" spans="1:12" s="197" customFormat="1" ht="12.75" customHeight="1">
      <c r="A41" s="214" t="s">
        <v>83</v>
      </c>
      <c r="B41" s="222">
        <f>B38/B6</f>
        <v>4367.4475955610369</v>
      </c>
      <c r="C41" s="9">
        <f>C38/C6</f>
        <v>4364.0497648363944</v>
      </c>
      <c r="D41" s="9">
        <f>D38/D6</f>
        <v>469.45397237415403</v>
      </c>
      <c r="E41" s="215"/>
      <c r="F41" s="9">
        <f>F38/F6</f>
        <v>573.69101486748548</v>
      </c>
      <c r="G41" s="9">
        <f>G38/G6</f>
        <v>648.33709638989694</v>
      </c>
      <c r="H41" s="9">
        <f>H36/5*100</f>
        <v>500</v>
      </c>
      <c r="I41" s="9">
        <f>I38/I6</f>
        <v>443.89302688273995</v>
      </c>
      <c r="J41" s="9">
        <f>J38/J6</f>
        <v>2641.4365494558856</v>
      </c>
      <c r="K41" s="215"/>
      <c r="L41" s="128">
        <f>L38/L6</f>
        <v>2103.1050560497338</v>
      </c>
    </row>
    <row r="42" spans="1:12" s="197" customFormat="1" ht="5.25" customHeight="1">
      <c r="A42" s="211"/>
      <c r="B42" s="6"/>
      <c r="C42" s="6"/>
      <c r="D42" s="6"/>
      <c r="E42" s="210"/>
      <c r="F42" s="6"/>
      <c r="G42" s="6"/>
      <c r="H42" s="6"/>
      <c r="I42" s="6"/>
      <c r="J42" s="6"/>
      <c r="K42" s="210"/>
      <c r="L42" s="6"/>
    </row>
    <row r="43" spans="1:12" s="197" customFormat="1" ht="12.75" customHeight="1">
      <c r="A43" s="214" t="s">
        <v>37</v>
      </c>
      <c r="B43" s="117">
        <f>B13/B41</f>
        <v>2.2409655561829473</v>
      </c>
      <c r="C43" s="117">
        <f>C13/C41</f>
        <v>1.703781512605042</v>
      </c>
      <c r="D43" s="117">
        <f>D13/D41</f>
        <v>5.7266982622432865</v>
      </c>
      <c r="E43" s="117"/>
      <c r="F43" s="223">
        <f>F13/F41</f>
        <v>1.1901408450704225</v>
      </c>
      <c r="G43" s="117">
        <f>G13/G41</f>
        <v>0.85000000000000009</v>
      </c>
      <c r="H43" s="117">
        <f>H13/H41</f>
        <v>2.5</v>
      </c>
      <c r="I43" s="117">
        <f>I13/I41</f>
        <v>1.6460727969348656</v>
      </c>
      <c r="J43" s="117">
        <f>J13/J41</f>
        <v>1.366284627919609</v>
      </c>
      <c r="K43" s="117"/>
      <c r="L43" s="117">
        <f>L13/L41</f>
        <v>1.5062893081761006</v>
      </c>
    </row>
    <row r="44" spans="1:12" s="197" customFormat="1" ht="5.25" customHeight="1">
      <c r="A44" s="211"/>
      <c r="B44" s="6"/>
      <c r="C44" s="6"/>
      <c r="D44" s="6"/>
      <c r="E44" s="210"/>
      <c r="F44" s="147"/>
      <c r="G44" s="147"/>
      <c r="H44" s="147"/>
      <c r="I44" s="147"/>
      <c r="J44" s="147"/>
      <c r="K44" s="210"/>
      <c r="L44" s="146"/>
    </row>
    <row r="45" spans="1:12" s="197" customFormat="1" ht="12.75" customHeight="1">
      <c r="A45" s="209" t="s">
        <v>38</v>
      </c>
      <c r="B45" s="6"/>
      <c r="C45" s="6"/>
      <c r="D45" s="6"/>
      <c r="E45" s="210"/>
      <c r="F45" s="147"/>
      <c r="G45" s="147"/>
      <c r="H45" s="147"/>
      <c r="I45" s="147"/>
      <c r="J45" s="147"/>
      <c r="K45" s="210"/>
      <c r="L45" s="6"/>
    </row>
    <row r="46" spans="1:12" s="197" customFormat="1" ht="5.25" customHeight="1">
      <c r="A46" s="211"/>
      <c r="B46" s="6"/>
      <c r="C46" s="6"/>
      <c r="D46" s="6"/>
      <c r="E46" s="210"/>
      <c r="F46" s="147"/>
      <c r="G46" s="147"/>
      <c r="H46" s="147"/>
      <c r="I46" s="147"/>
      <c r="J46" s="147"/>
      <c r="K46" s="210"/>
      <c r="L46" s="6"/>
    </row>
    <row r="47" spans="1:12" s="197" customFormat="1" ht="12.75" customHeight="1">
      <c r="A47" s="214" t="s">
        <v>51</v>
      </c>
      <c r="B47" s="143">
        <v>0.11</v>
      </c>
      <c r="C47" s="143">
        <v>0.25</v>
      </c>
      <c r="D47" s="224">
        <v>7.6999999999999999E-2</v>
      </c>
      <c r="E47" s="225"/>
      <c r="F47" s="143">
        <v>0.2</v>
      </c>
      <c r="G47" s="143">
        <v>0.18</v>
      </c>
      <c r="H47" s="143">
        <v>0.21</v>
      </c>
      <c r="I47" s="143">
        <v>0.2</v>
      </c>
      <c r="J47" s="143">
        <v>0.18</v>
      </c>
      <c r="K47" s="225"/>
      <c r="L47" s="6"/>
    </row>
    <row r="48" spans="1:12" s="197" customFormat="1" ht="12.75" customHeight="1">
      <c r="A48" s="214"/>
      <c r="B48" s="224"/>
      <c r="C48" s="143"/>
      <c r="D48" s="143"/>
      <c r="E48" s="225"/>
      <c r="F48" s="143"/>
      <c r="G48" s="143"/>
      <c r="H48" s="143"/>
      <c r="I48" s="143"/>
      <c r="J48" s="143"/>
      <c r="K48" s="225"/>
      <c r="L48" s="6" t="s">
        <v>39</v>
      </c>
    </row>
    <row r="49" spans="1:12" s="197" customFormat="1" ht="12.75" customHeight="1">
      <c r="A49" s="214"/>
      <c r="B49" s="224"/>
      <c r="C49" s="143"/>
      <c r="D49" s="143"/>
      <c r="E49" s="225"/>
      <c r="F49" s="143"/>
      <c r="G49" s="143"/>
      <c r="H49" s="143"/>
      <c r="I49" s="143"/>
      <c r="J49" s="143"/>
      <c r="K49" s="225"/>
      <c r="L49" s="143">
        <v>0.2</v>
      </c>
    </row>
    <row r="50" spans="1:12" s="197" customFormat="1" ht="12.75" customHeight="1">
      <c r="A50" s="214"/>
      <c r="B50" s="224"/>
      <c r="C50" s="143"/>
      <c r="D50" s="143"/>
      <c r="E50" s="225"/>
      <c r="F50" s="143"/>
      <c r="G50" s="143"/>
      <c r="H50" s="143"/>
      <c r="I50" s="143"/>
      <c r="J50" s="143"/>
      <c r="K50" s="225"/>
      <c r="L50" s="6"/>
    </row>
    <row r="51" spans="1:12" s="197" customFormat="1" ht="5.25" customHeight="1">
      <c r="A51" s="211"/>
      <c r="B51" s="6"/>
      <c r="C51" s="6"/>
      <c r="D51" s="6"/>
      <c r="E51" s="210"/>
      <c r="F51" s="169"/>
      <c r="G51" s="169"/>
      <c r="H51" s="169"/>
      <c r="I51" s="169"/>
      <c r="J51" s="6"/>
      <c r="K51" s="210"/>
      <c r="L51" s="6"/>
    </row>
    <row r="52" spans="1:12" s="197" customFormat="1" ht="12.75" customHeight="1">
      <c r="A52" s="209" t="s">
        <v>41</v>
      </c>
      <c r="B52" s="6"/>
      <c r="C52" s="6"/>
      <c r="D52" s="6"/>
      <c r="E52" s="210"/>
      <c r="F52" s="169"/>
      <c r="G52" s="169"/>
      <c r="H52" s="169"/>
      <c r="I52" s="169"/>
      <c r="J52" s="6"/>
      <c r="K52" s="210"/>
      <c r="L52" s="6"/>
    </row>
    <row r="53" spans="1:12" s="197" customFormat="1" ht="12.75" customHeight="1">
      <c r="A53" s="211" t="s">
        <v>64</v>
      </c>
      <c r="B53" s="6" t="s">
        <v>42</v>
      </c>
      <c r="C53" s="6" t="s">
        <v>42</v>
      </c>
      <c r="D53" s="6" t="s">
        <v>43</v>
      </c>
      <c r="E53" s="210"/>
      <c r="F53" s="6" t="s">
        <v>42</v>
      </c>
      <c r="G53" s="6" t="s">
        <v>42</v>
      </c>
      <c r="H53" s="6" t="s">
        <v>43</v>
      </c>
      <c r="I53" s="6" t="s">
        <v>42</v>
      </c>
      <c r="J53" s="6" t="s">
        <v>42</v>
      </c>
      <c r="K53" s="210"/>
      <c r="L53" s="6" t="s">
        <v>43</v>
      </c>
    </row>
    <row r="54" spans="1:12" s="197" customFormat="1" ht="12.75" customHeight="1"/>
    <row r="55" spans="1:12" s="197" customFormat="1" ht="11.4"/>
    <row r="56" spans="1:12" s="197" customFormat="1" ht="11.4"/>
    <row r="57" spans="1:12" s="197" customFormat="1" ht="11.4"/>
    <row r="58" spans="1:12" s="197" customFormat="1" ht="11.4"/>
    <row r="59" spans="1:12" s="197" customFormat="1" ht="11.4"/>
    <row r="60" spans="1:12" s="197" customFormat="1" ht="11.4"/>
    <row r="61" spans="1:12" s="197" customFormat="1" ht="11.4"/>
    <row r="62" spans="1:12" s="197" customFormat="1" ht="11.4"/>
    <row r="63" spans="1:12" s="197" customFormat="1" ht="11.4"/>
    <row r="64" spans="1:12" s="197" customFormat="1" ht="11.4"/>
    <row r="65" s="197" customFormat="1" ht="11.4"/>
    <row r="66" s="197" customFormat="1" ht="11.4"/>
    <row r="67" s="197" customFormat="1" ht="11.4"/>
    <row r="68" s="197" customFormat="1" ht="11.4"/>
    <row r="69" s="197" customFormat="1" ht="11.4"/>
    <row r="70" s="197" customFormat="1" ht="11.4"/>
    <row r="71" s="197" customFormat="1" ht="11.4"/>
    <row r="72" s="197" customFormat="1" ht="11.4"/>
    <row r="73" s="197" customFormat="1" ht="11.4"/>
    <row r="74" s="197" customFormat="1" ht="11.4"/>
    <row r="75" s="197" customFormat="1" ht="11.4"/>
    <row r="76" s="197" customFormat="1" ht="11.4"/>
    <row r="77" s="197" customFormat="1" ht="11.4"/>
    <row r="78" s="197" customFormat="1" ht="11.4"/>
    <row r="79" s="197" customFormat="1" ht="11.4"/>
    <row r="80" s="197" customFormat="1" ht="11.4"/>
    <row r="81" s="197" customFormat="1" ht="11.4"/>
    <row r="82" s="197" customFormat="1" ht="11.4"/>
    <row r="83" s="197" customFormat="1" ht="11.4"/>
    <row r="84" s="197" customFormat="1" ht="11.4"/>
    <row r="85" s="197" customFormat="1" ht="11.4"/>
    <row r="86" s="197" customFormat="1" ht="11.4"/>
    <row r="87" s="197" customFormat="1" ht="11.4"/>
    <row r="88" s="197" customFormat="1" ht="11.4"/>
    <row r="89" s="197" customFormat="1" ht="11.4"/>
    <row r="90" s="197" customFormat="1" ht="11.4"/>
    <row r="91" s="197" customFormat="1" ht="11.4"/>
    <row r="92" s="197" customFormat="1" ht="11.4"/>
    <row r="93" s="197" customFormat="1" ht="11.4"/>
    <row r="94" s="197" customFormat="1" ht="11.4"/>
    <row r="95" s="197" customFormat="1" ht="11.4"/>
    <row r="96" s="197" customFormat="1" ht="11.4"/>
    <row r="97" spans="1:11" s="197" customFormat="1" ht="11.4"/>
    <row r="98" spans="1:11" s="197" customFormat="1" ht="11.4"/>
    <row r="99" spans="1:11" s="197" customFormat="1" ht="11.4"/>
    <row r="100" spans="1:11" s="197" customFormat="1" ht="11.4"/>
    <row r="101" spans="1:11" s="197" customFormat="1" ht="11.4"/>
    <row r="102" spans="1:11" s="197" customFormat="1" ht="11.4"/>
    <row r="103" spans="1:11" s="197" customFormat="1">
      <c r="A103" s="199"/>
      <c r="B103" s="199"/>
      <c r="C103" s="199"/>
      <c r="D103" s="199"/>
      <c r="E103" s="199"/>
      <c r="F103" s="199"/>
      <c r="G103" s="199"/>
      <c r="H103" s="199"/>
      <c r="I103" s="199"/>
      <c r="J103" s="199"/>
      <c r="K103" s="199"/>
    </row>
    <row r="104" spans="1:11" s="197" customFormat="1">
      <c r="A104" s="199"/>
      <c r="B104" s="199"/>
      <c r="C104" s="199"/>
      <c r="D104" s="199"/>
      <c r="E104" s="199"/>
      <c r="F104" s="199"/>
      <c r="G104" s="199"/>
      <c r="H104" s="199"/>
      <c r="I104" s="199"/>
      <c r="J104" s="199"/>
      <c r="K104" s="199"/>
    </row>
  </sheetData>
  <mergeCells count="4">
    <mergeCell ref="B2:D2"/>
    <mergeCell ref="F2:J2"/>
    <mergeCell ref="L2:M2"/>
    <mergeCell ref="A1:M1"/>
  </mergeCells>
  <phoneticPr fontId="0" type="noConversion"/>
  <pageMargins left="0.31496062992125984" right="0.31496062992125984" top="0.31496062992125984" bottom="0.31496062992125984" header="0.19685039370078741" footer="0.19685039370078741"/>
  <pageSetup paperSize="9"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
  <sheetViews>
    <sheetView view="pageBreakPreview" topLeftCell="A25" zoomScaleNormal="100" zoomScaleSheetLayoutView="100" workbookViewId="0">
      <selection activeCell="F48" sqref="F48"/>
    </sheetView>
  </sheetViews>
  <sheetFormatPr defaultColWidth="9.109375" defaultRowHeight="12.6"/>
  <cols>
    <col min="1" max="1" width="29.71875" style="32" customWidth="1"/>
    <col min="2" max="2" width="2" style="32" customWidth="1"/>
    <col min="3" max="3" width="9.27734375" style="32" customWidth="1"/>
    <col min="4" max="4" width="8.5546875" style="32" customWidth="1"/>
    <col min="5" max="5" width="8" style="81" customWidth="1"/>
    <col min="6" max="6" width="9.27734375" style="32" customWidth="1"/>
    <col min="7" max="7" width="8.5546875" style="32" customWidth="1"/>
    <col min="8" max="8" width="8" style="32" customWidth="1"/>
    <col min="9" max="9" width="9.27734375" style="32" customWidth="1"/>
    <col min="10" max="10" width="8.5546875" style="32" customWidth="1"/>
    <col min="11" max="11" width="8.83203125" style="32" customWidth="1"/>
    <col min="12" max="12" width="9.27734375" style="32" customWidth="1"/>
    <col min="13" max="13" width="8.5546875" style="80" customWidth="1"/>
    <col min="14" max="14" width="6.71875" style="32" customWidth="1"/>
    <col min="15" max="15" width="10" style="32" customWidth="1"/>
    <col min="16" max="16" width="8.109375" style="32" customWidth="1"/>
    <col min="17" max="16384" width="9.109375" style="32"/>
  </cols>
  <sheetData>
    <row r="1" spans="1:35" ht="31.5" customHeight="1">
      <c r="A1" s="233" t="s">
        <v>185</v>
      </c>
      <c r="B1" s="233"/>
      <c r="C1" s="233"/>
      <c r="D1" s="233"/>
      <c r="E1" s="233"/>
      <c r="F1" s="233"/>
      <c r="G1" s="233"/>
      <c r="H1" s="233"/>
      <c r="I1" s="233"/>
      <c r="J1" s="233"/>
      <c r="K1" s="233"/>
      <c r="L1" s="233"/>
      <c r="M1" s="234"/>
      <c r="N1" s="234"/>
      <c r="O1" s="234"/>
      <c r="P1" s="31"/>
    </row>
    <row r="2" spans="1:35" ht="2.25" customHeight="1">
      <c r="A2" s="235"/>
      <c r="B2" s="235"/>
      <c r="C2" s="235"/>
      <c r="D2" s="235"/>
      <c r="E2" s="235"/>
      <c r="F2" s="235"/>
      <c r="G2" s="235"/>
      <c r="H2" s="235"/>
      <c r="I2" s="235"/>
      <c r="J2" s="235"/>
      <c r="K2" s="235"/>
      <c r="L2" s="235"/>
      <c r="M2" s="234"/>
      <c r="N2" s="234"/>
      <c r="O2" s="234"/>
      <c r="P2" s="33"/>
    </row>
    <row r="3" spans="1:35" ht="3" customHeight="1">
      <c r="A3" s="34"/>
      <c r="B3" s="35"/>
      <c r="C3" s="35"/>
      <c r="D3" s="35"/>
      <c r="E3" s="35"/>
      <c r="F3" s="35"/>
      <c r="G3" s="35"/>
      <c r="H3" s="35"/>
      <c r="I3" s="35"/>
      <c r="J3" s="35"/>
      <c r="K3" s="35"/>
      <c r="L3" s="35"/>
      <c r="M3" s="34"/>
      <c r="N3" s="36"/>
      <c r="O3" s="36"/>
    </row>
    <row r="4" spans="1:35" s="40" customFormat="1" ht="2.25" customHeight="1">
      <c r="A4" s="37"/>
      <c r="B4" s="38"/>
      <c r="C4" s="38"/>
      <c r="D4" s="38"/>
      <c r="E4" s="39"/>
      <c r="F4" s="38"/>
      <c r="G4" s="38"/>
      <c r="H4" s="38"/>
      <c r="I4" s="38"/>
      <c r="J4" s="38"/>
      <c r="K4" s="38"/>
      <c r="L4" s="38"/>
      <c r="M4" s="37"/>
      <c r="N4" s="38"/>
      <c r="O4" s="38"/>
      <c r="P4" s="38"/>
    </row>
    <row r="5" spans="1:35" s="40" customFormat="1" ht="18.75" customHeight="1">
      <c r="A5" s="37"/>
      <c r="C5" s="236" t="s">
        <v>29</v>
      </c>
      <c r="D5" s="237"/>
      <c r="E5" s="238"/>
      <c r="F5" s="236" t="s">
        <v>30</v>
      </c>
      <c r="G5" s="237"/>
      <c r="H5" s="237"/>
      <c r="I5" s="236" t="s">
        <v>34</v>
      </c>
      <c r="J5" s="237"/>
      <c r="K5" s="238"/>
      <c r="L5" s="236" t="s">
        <v>36</v>
      </c>
      <c r="M5" s="237"/>
      <c r="N5" s="238"/>
      <c r="O5" s="41" t="s">
        <v>142</v>
      </c>
      <c r="P5" s="38"/>
    </row>
    <row r="6" spans="1:35" s="43" customFormat="1" ht="23.4">
      <c r="A6" s="42"/>
      <c r="C6" s="44" t="s">
        <v>118</v>
      </c>
      <c r="D6" s="45" t="s">
        <v>119</v>
      </c>
      <c r="E6" s="46" t="s">
        <v>120</v>
      </c>
      <c r="F6" s="44" t="s">
        <v>121</v>
      </c>
      <c r="G6" s="45" t="s">
        <v>119</v>
      </c>
      <c r="H6" s="47" t="s">
        <v>120</v>
      </c>
      <c r="I6" s="44" t="s">
        <v>121</v>
      </c>
      <c r="J6" s="45" t="s">
        <v>119</v>
      </c>
      <c r="K6" s="46" t="s">
        <v>120</v>
      </c>
      <c r="L6" s="44" t="s">
        <v>121</v>
      </c>
      <c r="M6" s="45" t="s">
        <v>119</v>
      </c>
      <c r="N6" s="46" t="s">
        <v>120</v>
      </c>
      <c r="O6" s="48"/>
      <c r="P6" s="45"/>
    </row>
    <row r="7" spans="1:35" s="49" customFormat="1" ht="2.25" customHeight="1">
      <c r="C7" s="50"/>
      <c r="D7" s="51"/>
      <c r="E7" s="52"/>
      <c r="F7" s="50"/>
      <c r="G7" s="51"/>
      <c r="H7" s="53"/>
      <c r="I7" s="50"/>
      <c r="J7" s="51"/>
      <c r="K7" s="52"/>
      <c r="L7" s="50"/>
      <c r="M7" s="51"/>
      <c r="N7" s="52"/>
      <c r="O7" s="54"/>
      <c r="P7" s="55"/>
    </row>
    <row r="8" spans="1:35" s="56" customFormat="1" ht="11.25" customHeight="1">
      <c r="A8" s="40" t="s">
        <v>122</v>
      </c>
      <c r="C8" s="57"/>
      <c r="D8" s="58"/>
      <c r="E8" s="59"/>
      <c r="F8" s="57"/>
      <c r="G8" s="58"/>
      <c r="H8" s="60"/>
      <c r="I8" s="57"/>
      <c r="J8" s="58"/>
      <c r="K8" s="59"/>
      <c r="L8" s="57"/>
      <c r="M8" s="58"/>
      <c r="N8" s="59"/>
      <c r="O8" s="61"/>
      <c r="P8" s="62"/>
    </row>
    <row r="9" spans="1:35" s="56" customFormat="1" ht="11.25" customHeight="1">
      <c r="A9" s="101" t="s">
        <v>52</v>
      </c>
      <c r="B9" s="100"/>
      <c r="C9" s="84">
        <f>'EU Member States'!B$13</f>
        <v>1200</v>
      </c>
      <c r="D9" s="85">
        <v>41699</v>
      </c>
      <c r="E9" s="88">
        <f>(1200/1000)-1</f>
        <v>0.19999999999999996</v>
      </c>
      <c r="F9" s="84">
        <f>'EU Member States'!B$21</f>
        <v>444.44444444444446</v>
      </c>
      <c r="G9" s="85">
        <v>41699</v>
      </c>
      <c r="H9" s="88">
        <f>(80/73)-1</f>
        <v>9.5890410958904049E-2</v>
      </c>
      <c r="I9" s="84">
        <f>'EU Member States'!B$31</f>
        <v>0</v>
      </c>
      <c r="J9" s="85" t="s">
        <v>140</v>
      </c>
      <c r="K9" s="103" t="s">
        <v>140</v>
      </c>
      <c r="L9" s="84">
        <f>'EU Member States'!B$41</f>
        <v>500</v>
      </c>
      <c r="M9" s="85">
        <v>38353</v>
      </c>
      <c r="N9" s="88">
        <f>(2/2.08)-1</f>
        <v>-3.8461538461538547E-2</v>
      </c>
      <c r="O9" s="87">
        <f>'EU Member States'!B47</f>
        <v>0.2</v>
      </c>
      <c r="P9" s="64"/>
      <c r="Q9" s="64"/>
      <c r="R9" s="64"/>
      <c r="S9" s="64"/>
      <c r="T9" s="64"/>
      <c r="U9" s="64"/>
      <c r="V9" s="64"/>
      <c r="W9" s="64"/>
      <c r="X9" s="64"/>
      <c r="Y9" s="64"/>
      <c r="Z9" s="64"/>
      <c r="AA9" s="64"/>
      <c r="AB9" s="64"/>
      <c r="AC9" s="64"/>
      <c r="AD9" s="64"/>
      <c r="AE9" s="64"/>
      <c r="AF9" s="64"/>
      <c r="AG9" s="64"/>
      <c r="AH9" s="64"/>
      <c r="AI9" s="64"/>
    </row>
    <row r="10" spans="1:35" s="91" customFormat="1" ht="11.25" customHeight="1">
      <c r="A10" s="101" t="s">
        <v>53</v>
      </c>
      <c r="B10" s="100"/>
      <c r="C10" s="84">
        <f>'EU Member States'!C$13</f>
        <v>2992.7942000000003</v>
      </c>
      <c r="D10" s="85">
        <v>42309</v>
      </c>
      <c r="E10" s="88">
        <f>((223.1042+2769.69)/2124.6812)-1</f>
        <v>0.40858506207896039</v>
      </c>
      <c r="F10" s="84">
        <f>'EU Member States'!C$21</f>
        <v>876.55111111111114</v>
      </c>
      <c r="G10" s="85">
        <v>42309</v>
      </c>
      <c r="H10" s="88">
        <f>((66.9313+90.8479)/(66.9313+53.5886))-1</f>
        <v>0.30915475369627754</v>
      </c>
      <c r="I10" s="84">
        <f>'EU Member States'!C$31</f>
        <v>680.98727272727274</v>
      </c>
      <c r="J10" s="85">
        <v>42309</v>
      </c>
      <c r="K10" s="88">
        <f>((0+74.9086)/(0+57.244))-1</f>
        <v>0.30858430577877161</v>
      </c>
      <c r="L10" s="84">
        <f>'EU Member States'!C$41</f>
        <v>501.07499999999999</v>
      </c>
      <c r="M10" s="85">
        <v>42309</v>
      </c>
      <c r="N10" s="88">
        <f>((0.7933+1.211)/(0.7933+1.054))-1</f>
        <v>8.4988902722892945E-2</v>
      </c>
      <c r="O10" s="87">
        <f>'EU Member States'!C$49</f>
        <v>0.21</v>
      </c>
      <c r="P10" s="130"/>
      <c r="Q10" s="130"/>
      <c r="R10" s="130"/>
      <c r="S10" s="130"/>
      <c r="T10" s="130"/>
      <c r="U10" s="130"/>
      <c r="V10" s="130"/>
      <c r="W10" s="130"/>
    </row>
    <row r="11" spans="1:35" s="91" customFormat="1" ht="11.25" customHeight="1">
      <c r="A11" s="101" t="s">
        <v>123</v>
      </c>
      <c r="B11" s="100"/>
      <c r="C11" s="84">
        <f>'EU Member States'!D$13</f>
        <v>562.42969628796402</v>
      </c>
      <c r="D11" s="85">
        <v>38718</v>
      </c>
      <c r="E11" s="88">
        <f>(1100/750)-1</f>
        <v>0.46666666666666656</v>
      </c>
      <c r="F11" s="84">
        <f>'EU Member States'!D$21</f>
        <v>256</v>
      </c>
      <c r="G11" s="85">
        <v>38322</v>
      </c>
      <c r="H11" s="88">
        <f>(500/200)-1</f>
        <v>1.5</v>
      </c>
      <c r="I11" s="84">
        <f>'EU Member States'!D$31</f>
        <v>0</v>
      </c>
      <c r="J11" s="85" t="s">
        <v>140</v>
      </c>
      <c r="K11" s="103" t="s">
        <v>140</v>
      </c>
      <c r="L11" s="84">
        <f>'EU Member States'!D$41</f>
        <v>192</v>
      </c>
      <c r="M11" s="85">
        <v>34700</v>
      </c>
      <c r="N11" s="88">
        <f>(375/263)-1</f>
        <v>0.42585551330798488</v>
      </c>
      <c r="O11" s="87">
        <f>'EU Member States'!D$49</f>
        <v>0.2</v>
      </c>
      <c r="P11" s="69"/>
    </row>
    <row r="12" spans="1:35" s="91" customFormat="1" ht="11.25" customHeight="1">
      <c r="A12" s="101" t="s">
        <v>124</v>
      </c>
      <c r="B12" s="100"/>
      <c r="C12" s="84">
        <f>'EU Member States'!E$13</f>
        <v>793.33597778659271</v>
      </c>
      <c r="D12" s="85">
        <v>43922</v>
      </c>
      <c r="E12" s="88">
        <f>(6000/5300)-1</f>
        <v>0.13207547169811318</v>
      </c>
      <c r="F12" s="84">
        <f>'EU Member States'!E$21</f>
        <v>587.65627984192042</v>
      </c>
      <c r="G12" s="85" t="s">
        <v>140</v>
      </c>
      <c r="H12" s="102" t="s">
        <v>140</v>
      </c>
      <c r="I12" s="84">
        <f>'EU Member States'!E$31</f>
        <v>0</v>
      </c>
      <c r="J12" s="85" t="s">
        <v>140</v>
      </c>
      <c r="K12" s="103" t="s">
        <v>140</v>
      </c>
      <c r="L12" s="84">
        <f>'EU Member States'!E$41</f>
        <v>528.89065185772847</v>
      </c>
      <c r="M12" s="85" t="s">
        <v>140</v>
      </c>
      <c r="N12" s="103" t="s">
        <v>140</v>
      </c>
      <c r="O12" s="87">
        <f>'EU Member States'!E$49</f>
        <v>0.25</v>
      </c>
      <c r="P12" s="66"/>
    </row>
    <row r="13" spans="1:35" s="91" customFormat="1" ht="11.25" customHeight="1">
      <c r="A13" s="101" t="s">
        <v>2</v>
      </c>
      <c r="B13" s="100"/>
      <c r="C13" s="84">
        <f>'EU Member States'!F$13</f>
        <v>956.82</v>
      </c>
      <c r="D13" s="85">
        <v>41244</v>
      </c>
      <c r="E13" s="88">
        <f>(957/598)-1</f>
        <v>0.60033444816053505</v>
      </c>
      <c r="F13" s="84">
        <f>'EU Member States'!F$21</f>
        <v>250</v>
      </c>
      <c r="G13" s="85">
        <v>41244</v>
      </c>
      <c r="H13" s="88">
        <f>(250/249)-1</f>
        <v>4.0160642570281624E-3</v>
      </c>
      <c r="I13" s="84">
        <f>'EU Member States'!F$31</f>
        <v>0</v>
      </c>
      <c r="J13" s="85" t="s">
        <v>140</v>
      </c>
      <c r="K13" s="103" t="s">
        <v>140</v>
      </c>
      <c r="L13" s="84">
        <f>'EU Member States'!F$41</f>
        <v>600</v>
      </c>
      <c r="M13" s="85">
        <v>41244</v>
      </c>
      <c r="N13" s="88">
        <f>(600/478)-1</f>
        <v>0.2552301255230125</v>
      </c>
      <c r="O13" s="87">
        <f>'EU Member States'!F$49</f>
        <v>0.19</v>
      </c>
      <c r="P13" s="67"/>
    </row>
    <row r="14" spans="1:35" s="129" customFormat="1" ht="11.25" customHeight="1">
      <c r="A14" s="101" t="s">
        <v>125</v>
      </c>
      <c r="B14" s="100"/>
      <c r="C14" s="84">
        <f>'EU Member States'!G$13</f>
        <v>1198.0830670926518</v>
      </c>
      <c r="D14" s="86">
        <v>43831</v>
      </c>
      <c r="E14" s="88">
        <f>(32250/28500)-1</f>
        <v>0.13157894736842102</v>
      </c>
      <c r="F14" s="84">
        <f>'EU Member States'!G$21</f>
        <v>482.94821309161159</v>
      </c>
      <c r="G14" s="85" t="s">
        <v>140</v>
      </c>
      <c r="H14" s="102" t="s">
        <v>140</v>
      </c>
      <c r="I14" s="84">
        <f>'EU Member States'!G$31</f>
        <v>0</v>
      </c>
      <c r="J14" s="85" t="s">
        <v>140</v>
      </c>
      <c r="K14" s="103" t="s">
        <v>140</v>
      </c>
      <c r="L14" s="84">
        <f>'EU Member States'!G$41</f>
        <v>297.19890036406866</v>
      </c>
      <c r="M14" s="86">
        <v>40179</v>
      </c>
      <c r="N14" s="88">
        <f>(8000/6000)-1</f>
        <v>0.33333333333333326</v>
      </c>
      <c r="O14" s="87">
        <f>'EU Member States'!G$49</f>
        <v>0.21</v>
      </c>
      <c r="P14" s="128"/>
    </row>
    <row r="15" spans="1:35" s="91" customFormat="1" ht="11.25" customHeight="1">
      <c r="A15" s="101" t="s">
        <v>126</v>
      </c>
      <c r="B15" s="100"/>
      <c r="C15" s="84">
        <f>'EU Member States'!H$13</f>
        <v>2015.5601241585036</v>
      </c>
      <c r="D15" s="86">
        <v>37895</v>
      </c>
      <c r="E15" s="88">
        <f>(15000/27500)-1</f>
        <v>-0.45454545454545459</v>
      </c>
      <c r="F15" s="84">
        <f>'EU Member States'!H$21</f>
        <v>1125.7276545300087</v>
      </c>
      <c r="G15" s="85">
        <v>43556</v>
      </c>
      <c r="H15" s="88">
        <f>(1509/1555)-1</f>
        <v>-2.9581993569131826E-2</v>
      </c>
      <c r="I15" s="84">
        <f>'EU Member States'!H$31</f>
        <v>1375.4670907893787</v>
      </c>
      <c r="J15" s="85">
        <v>43556</v>
      </c>
      <c r="K15" s="88">
        <f>(1126/1161)-1</f>
        <v>-3.0146425495262696E-2</v>
      </c>
      <c r="L15" s="84">
        <f>'EU Member States'!H$41</f>
        <v>654.92266967656974</v>
      </c>
      <c r="M15" s="85">
        <v>43556</v>
      </c>
      <c r="N15" s="88">
        <f>(4874/5602)-1</f>
        <v>-0.12995358800428414</v>
      </c>
      <c r="O15" s="87">
        <f>'EU Member States'!H$49</f>
        <v>0.25</v>
      </c>
      <c r="P15" s="113"/>
    </row>
    <row r="16" spans="1:35" s="91" customFormat="1" ht="11.25" customHeight="1">
      <c r="A16" s="101" t="s">
        <v>5</v>
      </c>
      <c r="B16" s="100"/>
      <c r="C16" s="84">
        <f>'EU Member States'!I$13</f>
        <v>1881</v>
      </c>
      <c r="D16" s="85">
        <v>43647</v>
      </c>
      <c r="E16" s="88">
        <f>(C16/2508)-1</f>
        <v>-0.25</v>
      </c>
      <c r="F16" s="84">
        <f>'EU Member States'!I$21</f>
        <v>1607.3888888888889</v>
      </c>
      <c r="G16" s="85">
        <v>43132</v>
      </c>
      <c r="H16" s="88">
        <f>(289.33/263.03)-1</f>
        <v>9.998859445690611E-2</v>
      </c>
      <c r="I16" s="84">
        <f>'EU Member States'!I$31</f>
        <v>1343.8181818181818</v>
      </c>
      <c r="J16" s="85">
        <v>43132</v>
      </c>
      <c r="K16" s="88">
        <f>(147.82/123.18)-1</f>
        <v>0.20003247280402658</v>
      </c>
      <c r="L16" s="84">
        <f>'EU Member States'!I$41</f>
        <v>1270</v>
      </c>
      <c r="M16" s="85">
        <v>43647</v>
      </c>
      <c r="N16" s="88">
        <f>(L16/1692)-1</f>
        <v>-0.24940898345153661</v>
      </c>
      <c r="O16" s="87">
        <f>'EU Member States'!I$49</f>
        <v>0.2</v>
      </c>
      <c r="P16" s="69"/>
    </row>
    <row r="17" spans="1:17" s="91" customFormat="1" ht="11.25" customHeight="1">
      <c r="A17" s="139" t="s">
        <v>55</v>
      </c>
      <c r="B17" s="100"/>
      <c r="C17" s="133">
        <f>'EU Member States'!J$13</f>
        <v>5035</v>
      </c>
      <c r="D17" s="134">
        <v>44197</v>
      </c>
      <c r="E17" s="135">
        <f>(5035/4880)-1</f>
        <v>3.1762295081967151E-2</v>
      </c>
      <c r="F17" s="133">
        <f>'EU Member States'!J$21</f>
        <v>4283.3333333333339</v>
      </c>
      <c r="G17" s="134">
        <v>44197</v>
      </c>
      <c r="H17" s="135">
        <f>(771/738)-1</f>
        <v>4.471544715447151E-2</v>
      </c>
      <c r="I17" s="133">
        <f>'EU Member States'!J$31</f>
        <v>3827.2727272727275</v>
      </c>
      <c r="J17" s="134">
        <v>44197</v>
      </c>
      <c r="K17" s="135">
        <f>(421/397)-1</f>
        <v>6.0453400503778232E-2</v>
      </c>
      <c r="L17" s="133">
        <f>'EU Member States'!J$41</f>
        <v>3850</v>
      </c>
      <c r="M17" s="134">
        <v>44197</v>
      </c>
      <c r="N17" s="135">
        <f>(3850/3650)-1</f>
        <v>5.4794520547945202E-2</v>
      </c>
      <c r="O17" s="87">
        <f>'EU Member States'!J$49</f>
        <v>0.24</v>
      </c>
      <c r="P17" s="93"/>
    </row>
    <row r="18" spans="1:17" s="91" customFormat="1" ht="11.25" customHeight="1">
      <c r="A18" s="139" t="s">
        <v>56</v>
      </c>
      <c r="B18" s="100"/>
      <c r="C18" s="133">
        <f>'EU Member States'!K$13</f>
        <v>1802.67</v>
      </c>
      <c r="D18" s="134">
        <v>44197</v>
      </c>
      <c r="E18" s="135">
        <f>(1802.67/1786.59)-1</f>
        <v>9.0003862106025068E-3</v>
      </c>
      <c r="F18" s="133">
        <f>'EU Member States'!K$21</f>
        <v>1085.9444444444446</v>
      </c>
      <c r="G18" s="134">
        <v>44197</v>
      </c>
      <c r="H18" s="135">
        <f>(195.47/193.73)-1</f>
        <v>8.9815722913333396E-3</v>
      </c>
      <c r="I18" s="133">
        <f>'EU Member States'!K$31</f>
        <v>35.545454545454547</v>
      </c>
      <c r="J18" s="134">
        <v>44197</v>
      </c>
      <c r="K18" s="135">
        <f>(3.91/3.88)-1</f>
        <v>7.7319587628865705E-3</v>
      </c>
      <c r="L18" s="133">
        <f>'EU Member States'!K$41</f>
        <v>767.99999999999989</v>
      </c>
      <c r="M18" s="134">
        <v>44197</v>
      </c>
      <c r="N18" s="135">
        <f>(768/761)-1</f>
        <v>9.1984231274637729E-3</v>
      </c>
      <c r="O18" s="87">
        <f>'EU Member States'!K$49</f>
        <v>0.2</v>
      </c>
      <c r="P18" s="69"/>
    </row>
    <row r="19" spans="1:17" s="91" customFormat="1" ht="11.25" customHeight="1">
      <c r="A19" s="139" t="s">
        <v>57</v>
      </c>
      <c r="B19" s="100"/>
      <c r="C19" s="84">
        <f>'EU Member States'!L$13</f>
        <v>1303</v>
      </c>
      <c r="D19" s="85">
        <v>30042</v>
      </c>
      <c r="E19" s="88">
        <f>(2550/2250)-1</f>
        <v>0.1333333333333333</v>
      </c>
      <c r="F19" s="84">
        <f>'EU Member States'!L$21</f>
        <v>850</v>
      </c>
      <c r="G19" s="85">
        <v>31594</v>
      </c>
      <c r="H19" s="88">
        <f>(1667/556)-1</f>
        <v>1.9982014388489207</v>
      </c>
      <c r="I19" s="84">
        <f>'EU Member States'!L$31</f>
        <v>0</v>
      </c>
      <c r="J19" s="85" t="s">
        <v>140</v>
      </c>
      <c r="K19" s="103" t="s">
        <v>140</v>
      </c>
      <c r="L19" s="84">
        <f>'EU Member States'!L$41</f>
        <v>196.75</v>
      </c>
      <c r="M19" s="85" t="s">
        <v>140</v>
      </c>
      <c r="N19" s="103" t="s">
        <v>140</v>
      </c>
      <c r="O19" s="138">
        <v>0.19</v>
      </c>
      <c r="P19" s="67"/>
    </row>
    <row r="20" spans="1:17" s="91" customFormat="1" ht="11.25" customHeight="1">
      <c r="A20" s="101" t="s">
        <v>58</v>
      </c>
      <c r="B20" s="100"/>
      <c r="C20" s="84">
        <f>'EU Member States'!M$13</f>
        <v>2550.35</v>
      </c>
      <c r="D20" s="85">
        <v>40299</v>
      </c>
      <c r="E20" s="88">
        <f>(2550/1961)-1</f>
        <v>0.30035696073431928</v>
      </c>
      <c r="F20" s="84">
        <f>'EU Member States'!M$21</f>
        <v>589.88888888888891</v>
      </c>
      <c r="G20" s="85">
        <v>40299</v>
      </c>
      <c r="H20" s="88">
        <f>(590/451)-1</f>
        <v>0.30820399113082031</v>
      </c>
      <c r="I20" s="84">
        <f>'EU Member States'!M$31</f>
        <v>0</v>
      </c>
      <c r="J20" s="85">
        <v>43466</v>
      </c>
      <c r="K20" s="103">
        <v>-1</v>
      </c>
      <c r="L20" s="84">
        <f>'EU Member States'!M$41</f>
        <v>1250</v>
      </c>
      <c r="M20" s="85">
        <v>42522</v>
      </c>
      <c r="N20" s="88">
        <f>(5/2.6)-1</f>
        <v>0.92307692307692291</v>
      </c>
      <c r="O20" s="87">
        <f>'EU Member States'!M$49</f>
        <v>0.24</v>
      </c>
      <c r="P20" s="69"/>
    </row>
    <row r="21" spans="1:17" s="91" customFormat="1" ht="11.25" customHeight="1">
      <c r="A21" s="101" t="s">
        <v>127</v>
      </c>
      <c r="B21" s="100"/>
      <c r="C21" s="84">
        <f>'EU Member States'!N$13</f>
        <v>926.35249659618216</v>
      </c>
      <c r="D21" s="85">
        <v>41275</v>
      </c>
      <c r="E21" s="88">
        <f>(333385/289900)-1</f>
        <v>0.14999999999999991</v>
      </c>
      <c r="F21" s="84">
        <f>'EU Member States'!N$21</f>
        <v>393.94753335124005</v>
      </c>
      <c r="G21" s="85">
        <v>41275</v>
      </c>
      <c r="H21" s="88">
        <f>(141778/128889)-1</f>
        <v>0.1000007758614001</v>
      </c>
      <c r="I21" s="84">
        <f>'EU Member States'!N$31</f>
        <v>0</v>
      </c>
      <c r="J21" s="85" t="s">
        <v>140</v>
      </c>
      <c r="K21" s="103" t="s">
        <v>140</v>
      </c>
      <c r="L21" s="84">
        <f>'EU Member States'!N$41</f>
        <v>450.13754202673039</v>
      </c>
      <c r="M21" s="85">
        <v>41275</v>
      </c>
      <c r="N21" s="88">
        <f>(162000/147000)-1</f>
        <v>0.1020408163265305</v>
      </c>
      <c r="O21" s="87">
        <f>'EU Member States'!N$49</f>
        <v>0.27</v>
      </c>
      <c r="P21" s="69"/>
    </row>
    <row r="22" spans="1:17" s="129" customFormat="1" ht="11.25" customHeight="1">
      <c r="A22" s="101" t="s">
        <v>12</v>
      </c>
      <c r="B22" s="100"/>
      <c r="C22" s="84">
        <f>'EU Member States'!O$13</f>
        <v>4257</v>
      </c>
      <c r="D22" s="85">
        <v>41548</v>
      </c>
      <c r="E22" s="88">
        <f>(4257/3685)-1</f>
        <v>0.15522388059701497</v>
      </c>
      <c r="F22" s="84">
        <f>'EU Member States'!O$21</f>
        <v>3424.7222222222226</v>
      </c>
      <c r="G22" s="85">
        <v>41548</v>
      </c>
      <c r="H22" s="88">
        <f>(3425/2988)-1</f>
        <v>0.14625167336010714</v>
      </c>
      <c r="I22" s="84">
        <f>'EU Member States'!O$31</f>
        <v>3862.181818181818</v>
      </c>
      <c r="J22" s="85">
        <v>41548</v>
      </c>
      <c r="K22" s="88">
        <f>(3862/3369)-1</f>
        <v>0.14633422380528338</v>
      </c>
      <c r="L22" s="84">
        <f>'EU Member States'!O$41</f>
        <v>2255</v>
      </c>
      <c r="M22" s="85">
        <v>41548</v>
      </c>
      <c r="N22" s="88">
        <f>(2255/1913)-1</f>
        <v>0.17877679038159955</v>
      </c>
      <c r="O22" s="87">
        <f>'EU Member States'!O$49</f>
        <v>0.21</v>
      </c>
      <c r="P22" s="128"/>
    </row>
    <row r="23" spans="1:17" s="91" customFormat="1" ht="11.25" customHeight="1">
      <c r="A23" s="101" t="s">
        <v>59</v>
      </c>
      <c r="B23" s="100"/>
      <c r="C23" s="84">
        <f>'EU Member States'!Q$13</f>
        <v>1035.52</v>
      </c>
      <c r="D23" s="85">
        <v>42005</v>
      </c>
      <c r="E23" s="88">
        <f>(1035.52/942.49)-1</f>
        <v>9.8706617576844291E-2</v>
      </c>
      <c r="F23" s="84">
        <f>'EU Member States'!Q$21</f>
        <v>492.61111111111114</v>
      </c>
      <c r="G23" s="85">
        <v>42005</v>
      </c>
      <c r="H23" s="88">
        <f>(88.67/80.71)-1</f>
        <v>9.8624705736587881E-2</v>
      </c>
      <c r="I23" s="84">
        <f>'EU Member States'!Q$31</f>
        <v>0</v>
      </c>
      <c r="J23" s="85" t="s">
        <v>140</v>
      </c>
      <c r="K23" s="103" t="s">
        <v>140</v>
      </c>
      <c r="L23" s="84">
        <f>'EU Member States'!Q$41</f>
        <v>755</v>
      </c>
      <c r="M23" s="85">
        <v>42736</v>
      </c>
      <c r="N23" s="88">
        <f>(3.02/3.04)-1</f>
        <v>-6.5789473684210176E-3</v>
      </c>
      <c r="O23" s="87">
        <f>'EU Member States'!Q$49</f>
        <v>0.22</v>
      </c>
      <c r="P23" s="130"/>
      <c r="Q23" s="130"/>
    </row>
    <row r="24" spans="1:17" s="91" customFormat="1" ht="11.25" customHeight="1">
      <c r="A24" s="101" t="s">
        <v>7</v>
      </c>
      <c r="B24" s="100"/>
      <c r="C24" s="84">
        <f>'EU Member States'!R$13</f>
        <v>1642</v>
      </c>
      <c r="D24" s="85">
        <v>43891</v>
      </c>
      <c r="E24" s="88">
        <f>(C24/1564)-1</f>
        <v>4.9872122762148363E-2</v>
      </c>
      <c r="F24" s="84">
        <f>'EU Member States'!R$21</f>
        <v>977.77777777777783</v>
      </c>
      <c r="G24" s="85">
        <v>43891</v>
      </c>
      <c r="H24" s="88">
        <f>(176/168)-1</f>
        <v>4.7619047619047672E-2</v>
      </c>
      <c r="I24" s="84">
        <f>'EU Member States'!R$31</f>
        <v>963.63636363636363</v>
      </c>
      <c r="J24" s="85">
        <v>43891</v>
      </c>
      <c r="K24" s="88">
        <f>(106/101)-1</f>
        <v>4.9504950495049549E-2</v>
      </c>
      <c r="L24" s="84">
        <f>'EU Member States'!R$41</f>
        <v>780</v>
      </c>
      <c r="M24" s="85">
        <v>43891</v>
      </c>
      <c r="N24" s="88">
        <f>(7.8/7.4)-1</f>
        <v>5.4054054054053946E-2</v>
      </c>
      <c r="O24" s="87">
        <f>'EU Member States'!R$49</f>
        <v>0.21</v>
      </c>
      <c r="P24" s="115"/>
    </row>
    <row r="25" spans="1:17" s="91" customFormat="1" ht="11.25" customHeight="1">
      <c r="A25" s="101" t="s">
        <v>8</v>
      </c>
      <c r="B25" s="100"/>
      <c r="C25" s="84">
        <f>'EU Member States'!S$13</f>
        <v>2025</v>
      </c>
      <c r="D25" s="85">
        <v>43891</v>
      </c>
      <c r="E25" s="88">
        <f>(2025/1832)-1</f>
        <v>0.10534934497816595</v>
      </c>
      <c r="F25" s="84">
        <f>'EU Member States'!S$21</f>
        <v>1469.5555555555554</v>
      </c>
      <c r="G25" s="85">
        <v>42795</v>
      </c>
      <c r="H25" s="88">
        <f>(264.52/136.37)-1</f>
        <v>0.93972281293539606</v>
      </c>
      <c r="I25" s="84">
        <f>'EU Member States'!S$31</f>
        <v>1496.9999999999998</v>
      </c>
      <c r="J25" s="85">
        <v>42795</v>
      </c>
      <c r="K25" s="88">
        <f>(164.67/77.89)-1</f>
        <v>1.1141353190396712</v>
      </c>
      <c r="L25" s="84">
        <f>'EU Member States'!S$41</f>
        <v>711</v>
      </c>
      <c r="M25" s="85">
        <v>42795</v>
      </c>
      <c r="N25" s="88">
        <f>(7.11/3.36)-1</f>
        <v>1.1160714285714288</v>
      </c>
      <c r="O25" s="87">
        <f>'EU Member States'!S$49</f>
        <v>0.21</v>
      </c>
      <c r="P25" s="114"/>
    </row>
    <row r="26" spans="1:17" s="91" customFormat="1" ht="11.25" customHeight="1">
      <c r="A26" s="101" t="s">
        <v>60</v>
      </c>
      <c r="B26" s="100"/>
      <c r="C26" s="84">
        <f>'EU Member States'!T$13</f>
        <v>1041</v>
      </c>
      <c r="D26" s="85">
        <v>34335</v>
      </c>
      <c r="E26" s="88">
        <f>(420/410)-1</f>
        <v>2.4390243902439046E-2</v>
      </c>
      <c r="F26" s="84">
        <f>'EU Member States'!T$21</f>
        <v>371.83333333333337</v>
      </c>
      <c r="G26" s="85" t="s">
        <v>140</v>
      </c>
      <c r="H26" s="102" t="s">
        <v>140</v>
      </c>
      <c r="I26" s="84">
        <f>'EU Member States'!T$31</f>
        <v>0</v>
      </c>
      <c r="J26" s="85" t="s">
        <v>140</v>
      </c>
      <c r="K26" s="103" t="s">
        <v>140</v>
      </c>
      <c r="L26" s="84">
        <f>'EU Member States'!T$41</f>
        <v>198.32499999999999</v>
      </c>
      <c r="M26" s="85" t="s">
        <v>140</v>
      </c>
      <c r="N26" s="103" t="s">
        <v>140</v>
      </c>
      <c r="O26" s="87">
        <f>'EU Member States'!T$47</f>
        <v>0.17</v>
      </c>
      <c r="P26" s="69"/>
    </row>
    <row r="27" spans="1:17" s="91" customFormat="1" ht="11.25" customHeight="1">
      <c r="A27" s="101" t="s">
        <v>128</v>
      </c>
      <c r="B27" s="100"/>
      <c r="C27" s="84">
        <f>'EU Member States'!U$13</f>
        <v>1360</v>
      </c>
      <c r="D27" s="86">
        <v>42290</v>
      </c>
      <c r="E27" s="88">
        <f>(1360/1350)-1</f>
        <v>7.4074074074073071E-3</v>
      </c>
      <c r="F27" s="84">
        <f>'EU Member States'!U$21</f>
        <v>844.44444444444446</v>
      </c>
      <c r="G27" s="86">
        <v>42290</v>
      </c>
      <c r="H27" s="88">
        <f>(152/150)-1</f>
        <v>1.3333333333333419E-2</v>
      </c>
      <c r="I27" s="84">
        <f>'EU Member States'!U$31</f>
        <v>186.36363636363637</v>
      </c>
      <c r="J27" s="86">
        <v>42290</v>
      </c>
      <c r="K27" s="88">
        <f>(21/20)-1</f>
        <v>5.0000000000000044E-2</v>
      </c>
      <c r="L27" s="84">
        <f>'EU Member States'!U$41</f>
        <v>482.5</v>
      </c>
      <c r="M27" s="86">
        <v>42290</v>
      </c>
      <c r="N27" s="88">
        <f>(1.93/1.73)-1</f>
        <v>0.11560693641618491</v>
      </c>
      <c r="O27" s="87">
        <f>'EU Member States'!U$49</f>
        <v>0.18</v>
      </c>
      <c r="P27" s="131"/>
    </row>
    <row r="28" spans="1:17" s="91" customFormat="1" ht="11.25" customHeight="1">
      <c r="A28" s="101" t="s">
        <v>62</v>
      </c>
      <c r="B28" s="100"/>
      <c r="C28" s="84">
        <f>'EU Member States'!V$13</f>
        <v>1686</v>
      </c>
      <c r="D28" s="85">
        <v>41640</v>
      </c>
      <c r="E28" s="88">
        <f>(1686/1594)-1</f>
        <v>5.7716436637390123E-2</v>
      </c>
      <c r="F28" s="84">
        <f>'EU Member States'!V$21</f>
        <v>829.44444444444457</v>
      </c>
      <c r="G28" s="85">
        <v>42736</v>
      </c>
      <c r="H28" s="88">
        <f>(149.3/149.29)-1</f>
        <v>6.6983722955438196E-5</v>
      </c>
      <c r="I28" s="84">
        <f>'EU Member States'!V$31</f>
        <v>802.72727272727275</v>
      </c>
      <c r="J28" s="85">
        <v>42736</v>
      </c>
      <c r="K28" s="88">
        <f>(88.3/88.36)-1</f>
        <v>-6.7904028972387565E-4</v>
      </c>
      <c r="L28" s="84">
        <f>'EU Member States'!V$41</f>
        <v>759.19999999999993</v>
      </c>
      <c r="M28" s="85">
        <v>41640</v>
      </c>
      <c r="N28" s="88">
        <f>(759/718)-1</f>
        <v>5.7103064066852394E-2</v>
      </c>
      <c r="O28" s="87">
        <f>'EU Member States'!V$49</f>
        <v>0.21</v>
      </c>
      <c r="P28" s="69"/>
    </row>
    <row r="29" spans="1:17" s="91" customFormat="1" ht="11.25" customHeight="1">
      <c r="A29" s="101" t="s">
        <v>129</v>
      </c>
      <c r="B29" s="100"/>
      <c r="C29" s="84">
        <f>'EU Member States'!W$13</f>
        <v>1396.4615555802827</v>
      </c>
      <c r="D29" s="85">
        <v>43831</v>
      </c>
      <c r="E29" s="88">
        <f>(6275/5704)-1</f>
        <v>0.10010518934081336</v>
      </c>
      <c r="F29" s="84">
        <f>'EU Member States'!W$21</f>
        <v>432.72381093678524</v>
      </c>
      <c r="G29" s="85">
        <v>43831</v>
      </c>
      <c r="H29" s="88">
        <f>(1944/1767)-1</f>
        <v>0.10016977928692694</v>
      </c>
      <c r="I29" s="84">
        <f>'EU Member States'!W$31</f>
        <v>352.02363009195096</v>
      </c>
      <c r="J29" s="85">
        <v>43831</v>
      </c>
      <c r="K29" s="88">
        <f>(1581/1436)-1</f>
        <v>0.10097493036211702</v>
      </c>
      <c r="L29" s="84">
        <f>'EU Member States'!W$41</f>
        <v>476.79982196506063</v>
      </c>
      <c r="M29" s="85">
        <v>43831</v>
      </c>
      <c r="N29" s="88">
        <f>(2143/1948)-1</f>
        <v>0.10010266940451751</v>
      </c>
      <c r="O29" s="87">
        <f>'EU Member States'!W$49</f>
        <v>0.23</v>
      </c>
      <c r="P29" s="67"/>
    </row>
    <row r="30" spans="1:17" s="91" customFormat="1" ht="11.25" customHeight="1">
      <c r="A30" s="101" t="s">
        <v>61</v>
      </c>
      <c r="B30" s="100"/>
      <c r="C30" s="84">
        <f>'EU Member States'!X$13</f>
        <v>1386.93</v>
      </c>
      <c r="D30" s="85">
        <v>43101</v>
      </c>
      <c r="E30" s="88">
        <f>(1386.93/1367.78)-1</f>
        <v>1.4000789600666863E-2</v>
      </c>
      <c r="F30" s="84">
        <f>'EU Member States'!X$21</f>
        <v>422.77777777777777</v>
      </c>
      <c r="G30" s="85">
        <v>43101</v>
      </c>
      <c r="H30" s="88">
        <f>(76.1/75.05)-1</f>
        <v>1.3990672884743427E-2</v>
      </c>
      <c r="I30" s="84">
        <f>'EU Member States'!X$31</f>
        <v>0</v>
      </c>
      <c r="J30" s="85" t="s">
        <v>140</v>
      </c>
      <c r="K30" s="103" t="s">
        <v>140</v>
      </c>
      <c r="L30" s="84">
        <f>'EU Member States'!X$41</f>
        <v>417.8</v>
      </c>
      <c r="M30" s="85">
        <v>43101</v>
      </c>
      <c r="N30" s="88">
        <f>(20.89/20.6)-1</f>
        <v>1.4077669902912593E-2</v>
      </c>
      <c r="O30" s="87">
        <f>'EU Member States'!X$47</f>
        <v>0.23</v>
      </c>
      <c r="P30" s="69"/>
    </row>
    <row r="31" spans="1:17" s="91" customFormat="1" ht="11.25" customHeight="1">
      <c r="A31" s="139" t="s">
        <v>130</v>
      </c>
      <c r="B31" s="100"/>
      <c r="C31" s="133">
        <f>'EU Member States'!Y$13</f>
        <v>748.44686089454251</v>
      </c>
      <c r="D31" s="134">
        <v>44197</v>
      </c>
      <c r="E31" s="135">
        <f>(3647.93/3540.78)-1</f>
        <v>3.0261693751094221E-2</v>
      </c>
      <c r="F31" s="133">
        <f>'EU Member States'!Y$21</f>
        <v>498.96275019377197</v>
      </c>
      <c r="G31" s="134">
        <v>44197</v>
      </c>
      <c r="H31" s="135">
        <f>(437.75/424.9)-1</f>
        <v>3.0242409978818552E-2</v>
      </c>
      <c r="I31" s="84">
        <f>'EU Member States'!Y$31</f>
        <v>0</v>
      </c>
      <c r="J31" s="85" t="s">
        <v>140</v>
      </c>
      <c r="K31" s="103" t="s">
        <v>140</v>
      </c>
      <c r="L31" s="133">
        <f>'EU Member States'!Y$41</f>
        <v>186.70496512105049</v>
      </c>
      <c r="M31" s="134">
        <v>44197</v>
      </c>
      <c r="N31" s="135">
        <f>(3.64/3.53)-1</f>
        <v>3.1161473087818692E-2</v>
      </c>
      <c r="O31" s="87">
        <f>'EU Member States'!Y$49</f>
        <v>0.19</v>
      </c>
      <c r="P31" s="69"/>
    </row>
    <row r="32" spans="1:17" s="129" customFormat="1" ht="11.25" customHeight="1">
      <c r="A32" s="101" t="s">
        <v>88</v>
      </c>
      <c r="B32" s="100"/>
      <c r="C32" s="84">
        <f>'EU Member States'!Z$13</f>
        <v>1080</v>
      </c>
      <c r="D32" s="85">
        <v>39873</v>
      </c>
      <c r="E32" s="88">
        <f>(1080/939)-1</f>
        <v>0.15015974440894575</v>
      </c>
      <c r="F32" s="84">
        <f>'EU Member States'!Z$21</f>
        <v>468</v>
      </c>
      <c r="G32" s="85">
        <v>40909</v>
      </c>
      <c r="H32" s="88">
        <f>(468/461)-1</f>
        <v>1.5184381778741818E-2</v>
      </c>
      <c r="I32" s="84">
        <f>'EU Member States'!Z$31</f>
        <v>0</v>
      </c>
      <c r="J32" s="85" t="s">
        <v>140</v>
      </c>
      <c r="K32" s="103" t="s">
        <v>140</v>
      </c>
      <c r="L32" s="84">
        <f>'EU Member States'!Z$41</f>
        <v>358.66152</v>
      </c>
      <c r="M32" s="85">
        <v>40909</v>
      </c>
      <c r="N32" s="88">
        <f>(359/412)-1</f>
        <v>-0.12864077669902918</v>
      </c>
      <c r="O32" s="87">
        <f>'EU Member States'!Z$49</f>
        <v>0.2</v>
      </c>
      <c r="P32" s="128"/>
    </row>
    <row r="33" spans="1:16" s="91" customFormat="1" ht="11.25" customHeight="1">
      <c r="A33" s="101" t="s">
        <v>11</v>
      </c>
      <c r="B33" s="100"/>
      <c r="C33" s="84">
        <f>'EU Member States'!AA$13</f>
        <v>1320</v>
      </c>
      <c r="D33" s="85">
        <v>41741</v>
      </c>
      <c r="E33" s="88">
        <f>(1320/1200)-1</f>
        <v>0.10000000000000009</v>
      </c>
      <c r="F33" s="84">
        <f>'EU Member States'!AA$21</f>
        <v>733.33333333333337</v>
      </c>
      <c r="G33" s="85">
        <v>41741</v>
      </c>
      <c r="H33" s="88">
        <f>(733/667)-1</f>
        <v>9.8950524737631218E-2</v>
      </c>
      <c r="I33" s="84">
        <f>'EU Member States'!AA$31</f>
        <v>0</v>
      </c>
      <c r="J33" s="85" t="s">
        <v>140</v>
      </c>
      <c r="K33" s="103" t="s">
        <v>140</v>
      </c>
      <c r="L33" s="84">
        <f>'EU Member States'!AA$41</f>
        <v>1210</v>
      </c>
      <c r="M33" s="85">
        <v>41741</v>
      </c>
      <c r="N33" s="88">
        <f>(1210/1100)-1</f>
        <v>0.10000000000000009</v>
      </c>
      <c r="O33" s="87">
        <f>'EU Member States'!AA$49</f>
        <v>0.22</v>
      </c>
      <c r="P33" s="69"/>
    </row>
    <row r="34" spans="1:16" s="91" customFormat="1" ht="11.25" customHeight="1">
      <c r="A34" s="101" t="s">
        <v>104</v>
      </c>
      <c r="B34" s="100"/>
      <c r="C34" s="84">
        <f>'EU Member States'!AB$13</f>
        <v>958.94</v>
      </c>
      <c r="D34" s="85">
        <v>42707</v>
      </c>
      <c r="E34" s="88">
        <f>(958.94/913)-1</f>
        <v>5.0317634173056014E-2</v>
      </c>
      <c r="F34" s="84">
        <f>'EU Member States'!AB$21</f>
        <v>356.27777777777777</v>
      </c>
      <c r="G34" s="85">
        <v>42707</v>
      </c>
      <c r="H34" s="88">
        <f>(64.13/61.08)-1</f>
        <v>4.9934512115258567E-2</v>
      </c>
      <c r="I34" s="84">
        <f>'EU Member States'!AB$31</f>
        <v>0</v>
      </c>
      <c r="J34" s="85" t="s">
        <v>140</v>
      </c>
      <c r="K34" s="103" t="s">
        <v>140</v>
      </c>
      <c r="L34" s="84">
        <f>'EU Member States'!AB$41</f>
        <v>199.20000000000002</v>
      </c>
      <c r="M34" s="85">
        <v>38596</v>
      </c>
      <c r="N34" s="88">
        <f>(199/181)-1</f>
        <v>9.9447513812154664E-2</v>
      </c>
      <c r="O34" s="87">
        <f>'EU Member States'!AB$49</f>
        <v>0.21</v>
      </c>
      <c r="P34" s="115"/>
    </row>
    <row r="35" spans="1:16" s="91" customFormat="1" ht="11.25" customHeight="1">
      <c r="A35" s="101" t="s">
        <v>131</v>
      </c>
      <c r="B35" s="100"/>
      <c r="C35" s="84">
        <f>'EU Member States'!AC$13</f>
        <v>4926.8022851039068</v>
      </c>
      <c r="D35" s="85">
        <v>42736</v>
      </c>
      <c r="E35" s="88">
        <f>(51659/51148)-1</f>
        <v>9.9906154688356175E-3</v>
      </c>
      <c r="F35" s="84">
        <f>'EU Member States'!AC$21</f>
        <v>2903.0060073520917</v>
      </c>
      <c r="G35" s="85">
        <v>42736</v>
      </c>
      <c r="H35" s="88">
        <f>(5479/5268)-1</f>
        <v>4.0053151100987172E-2</v>
      </c>
      <c r="I35" s="84">
        <f>'EU Member States'!AC$31</f>
        <v>2269.8444488951195</v>
      </c>
      <c r="J35" s="85">
        <v>42736</v>
      </c>
      <c r="K35" s="88">
        <f>(2618/2517)-1</f>
        <v>4.0127135478744469E-2</v>
      </c>
      <c r="L35" s="84">
        <f>'EU Member States'!AC$41</f>
        <v>1926.506633095858</v>
      </c>
      <c r="M35" s="85">
        <v>42736</v>
      </c>
      <c r="N35" s="88">
        <f>(20200/19400)-1</f>
        <v>4.1237113402061931E-2</v>
      </c>
      <c r="O35" s="87">
        <f>'EU Member States'!AC$49</f>
        <v>0.25</v>
      </c>
      <c r="P35" s="114"/>
    </row>
    <row r="36" spans="1:16" s="91" customFormat="1" ht="4.5" customHeight="1">
      <c r="A36" s="95"/>
      <c r="C36" s="89"/>
      <c r="D36" s="90"/>
      <c r="E36" s="67"/>
      <c r="G36" s="92"/>
      <c r="H36" s="93"/>
      <c r="J36" s="90"/>
      <c r="K36" s="94"/>
      <c r="M36" s="95"/>
      <c r="N36" s="96"/>
      <c r="O36" s="68"/>
      <c r="P36" s="89"/>
    </row>
    <row r="37" spans="1:16" s="91" customFormat="1" ht="11.25" customHeight="1">
      <c r="A37" s="104" t="s">
        <v>133</v>
      </c>
      <c r="B37" s="69"/>
      <c r="C37" s="69"/>
      <c r="D37" s="69"/>
      <c r="E37" s="71"/>
      <c r="F37" s="66"/>
      <c r="G37" s="69"/>
      <c r="H37" s="93"/>
      <c r="I37" s="69"/>
      <c r="J37" s="69"/>
      <c r="K37" s="69"/>
      <c r="L37" s="69"/>
      <c r="M37" s="95"/>
      <c r="N37" s="69"/>
      <c r="O37" s="67"/>
      <c r="P37" s="69"/>
    </row>
    <row r="38" spans="1:16" s="91" customFormat="1" ht="11.25" customHeight="1">
      <c r="A38" s="140" t="s">
        <v>134</v>
      </c>
      <c r="B38" s="100"/>
      <c r="C38" s="133">
        <f>'EEA+EFTA &amp; Accession Cand. &amp;UK'!B$13</f>
        <v>9787.2996300863142</v>
      </c>
      <c r="D38" s="134">
        <v>44197</v>
      </c>
      <c r="E38" s="135">
        <f>(1587500/1549000)-1</f>
        <v>2.4854744996772205E-2</v>
      </c>
      <c r="F38" s="133">
        <f>'EEA+EFTA &amp; Accession Cand. &amp;UK'!B$21</f>
        <v>9787.2996300863142</v>
      </c>
      <c r="G38" s="134">
        <v>44197</v>
      </c>
      <c r="H38" s="135">
        <f>(1587500/1549000)-1</f>
        <v>2.4854744996772205E-2</v>
      </c>
      <c r="I38" s="133">
        <f>'EEA+EFTA &amp; Accession Cand. &amp;UK'!B$31</f>
        <v>5752.5781863019838</v>
      </c>
      <c r="J38" s="134">
        <v>44197</v>
      </c>
      <c r="K38" s="135">
        <f>(117.3/114.45)-1</f>
        <v>2.4901703800786379E-2</v>
      </c>
      <c r="L38" s="137">
        <f>'EEA+EFTA &amp; Accession Cand. &amp;UK'!B$41</f>
        <v>4367.4475955610369</v>
      </c>
      <c r="M38" s="134">
        <v>44197</v>
      </c>
      <c r="N38" s="135">
        <f>(128.8/125.65)-1</f>
        <v>2.5069637883008422E-2</v>
      </c>
      <c r="O38" s="105">
        <f>'EEA+EFTA &amp; Accession Cand. &amp;UK'!$B$47</f>
        <v>0.11</v>
      </c>
      <c r="P38" s="69"/>
    </row>
    <row r="39" spans="1:16" s="91" customFormat="1" ht="11.25" customHeight="1">
      <c r="A39" s="140" t="s">
        <v>135</v>
      </c>
      <c r="B39" s="100"/>
      <c r="C39" s="133">
        <f>'EEA+EFTA &amp; Accession Cand. &amp;UK'!C$13</f>
        <v>7435.3873094166293</v>
      </c>
      <c r="D39" s="134">
        <v>44197</v>
      </c>
      <c r="E39" s="135">
        <f>(81100/78400)-1</f>
        <v>3.4438775510204023E-2</v>
      </c>
      <c r="F39" s="133">
        <f>'EEA+EFTA &amp; Accession Cand. &amp;UK'!C$21</f>
        <v>4364.0497648363944</v>
      </c>
      <c r="G39" s="134">
        <v>44197</v>
      </c>
      <c r="H39" s="135">
        <f>(47600/51100)-1</f>
        <v>-6.8493150684931559E-2</v>
      </c>
      <c r="I39" s="133">
        <f>'EEA+EFTA &amp; Accession Cand. &amp;UK'!C$31</f>
        <v>4364.0497648363944</v>
      </c>
      <c r="J39" s="134">
        <v>44197</v>
      </c>
      <c r="K39" s="135">
        <f>(47600/51100)-1</f>
        <v>-6.8493150684931559E-2</v>
      </c>
      <c r="L39" s="137">
        <f>'EEA+EFTA &amp; Accession Cand. &amp;UK'!C$41</f>
        <v>4364.0497648363944</v>
      </c>
      <c r="M39" s="134">
        <v>44197</v>
      </c>
      <c r="N39" s="135">
        <f>(47600/51100)-1</f>
        <v>-6.8493150684931559E-2</v>
      </c>
      <c r="O39" s="98">
        <f>'EEA+EFTA &amp; Accession Cand. &amp;UK'!$C$47</f>
        <v>0.25</v>
      </c>
      <c r="P39" s="69"/>
    </row>
    <row r="40" spans="1:16" s="129" customFormat="1" ht="11.25" customHeight="1">
      <c r="A40" s="99" t="s">
        <v>136</v>
      </c>
      <c r="B40" s="100"/>
      <c r="C40" s="84">
        <f>'EEA+EFTA &amp; Accession Cand. &amp;UK'!D$13</f>
        <v>2688.4212477982755</v>
      </c>
      <c r="D40" s="85">
        <v>36342</v>
      </c>
      <c r="E40" s="88">
        <f>(2900/5800)-1</f>
        <v>-0.5</v>
      </c>
      <c r="F40" s="84">
        <f>'EEA+EFTA &amp; Accession Cand. &amp;UK'!D$21</f>
        <v>1344.2106238991378</v>
      </c>
      <c r="G40" s="85">
        <v>36342</v>
      </c>
      <c r="H40" s="88">
        <f>(1450/1600)-1</f>
        <v>-9.375E-2</v>
      </c>
      <c r="I40" s="84">
        <f>'EEA+EFTA &amp; Accession Cand. &amp;UK'!D$31</f>
        <v>0</v>
      </c>
      <c r="J40" s="85" t="s">
        <v>140</v>
      </c>
      <c r="K40" s="102" t="s">
        <v>140</v>
      </c>
      <c r="L40" s="97">
        <f>'EEA+EFTA &amp; Accession Cand. &amp;UK'!D$41</f>
        <v>469.45397237415403</v>
      </c>
      <c r="M40" s="85">
        <v>39264</v>
      </c>
      <c r="N40" s="88">
        <f>(506/495)-1</f>
        <v>2.2222222222222143E-2</v>
      </c>
      <c r="O40" s="111">
        <f>'EEA+EFTA &amp; Accession Cand. &amp;UK'!$D$47</f>
        <v>7.6999999999999999E-2</v>
      </c>
      <c r="P40" s="128"/>
    </row>
    <row r="41" spans="1:16" s="129" customFormat="1" ht="11.25" customHeight="1">
      <c r="A41" s="99" t="s">
        <v>147</v>
      </c>
      <c r="B41" s="100"/>
      <c r="C41" s="84">
        <f>'EEA+EFTA &amp; Accession Cand. &amp;UK'!F$13</f>
        <v>682.77310924369749</v>
      </c>
      <c r="D41" s="85">
        <v>41640</v>
      </c>
      <c r="E41" s="88">
        <f>(84500/65000)-1</f>
        <v>0.30000000000000004</v>
      </c>
      <c r="F41" s="84">
        <f>'EEA+EFTA &amp; Accession Cand. &amp;UK'!F$21</f>
        <v>233.4267040149393</v>
      </c>
      <c r="G41" s="85">
        <v>41640</v>
      </c>
      <c r="H41" s="88">
        <f>(5200/4000)-1</f>
        <v>0.30000000000000004</v>
      </c>
      <c r="I41" s="84">
        <f>'EEA+EFTA &amp; Accession Cand. &amp;UK'!F$31</f>
        <v>734.55955808896988</v>
      </c>
      <c r="J41" s="85">
        <v>41640</v>
      </c>
      <c r="K41" s="88">
        <f>(10000/7692)-1</f>
        <v>0.3000520020800832</v>
      </c>
      <c r="L41" s="97">
        <f>'EEA+EFTA &amp; Accession Cand. &amp;UK'!F$41</f>
        <v>573.69101486748548</v>
      </c>
      <c r="M41" s="85">
        <v>41640</v>
      </c>
      <c r="N41" s="88">
        <f>(71000/54615)-1</f>
        <v>0.30000915499404934</v>
      </c>
      <c r="O41" s="98">
        <f>'EEA+EFTA &amp; Accession Cand. &amp;UK'!$F$47</f>
        <v>0.2</v>
      </c>
      <c r="P41" s="128"/>
    </row>
    <row r="42" spans="1:16" s="91" customFormat="1" ht="11.25" customHeight="1">
      <c r="A42" s="99" t="s">
        <v>137</v>
      </c>
      <c r="B42" s="100"/>
      <c r="C42" s="84">
        <f>'EEA+EFTA &amp; Accession Cand. &amp;UK'!G$13</f>
        <v>551.08653193141242</v>
      </c>
      <c r="D42" s="85">
        <v>41456</v>
      </c>
      <c r="E42" s="88">
        <f>(34000/30000)-1</f>
        <v>0.1333333333333333</v>
      </c>
      <c r="F42" s="84">
        <f>'EEA+EFTA &amp; Accession Cand. &amp;UK'!G$21</f>
        <v>551.08653193141242</v>
      </c>
      <c r="G42" s="85">
        <v>41456</v>
      </c>
      <c r="H42" s="88">
        <f>(34000/30000)-1</f>
        <v>0.1333333333333333</v>
      </c>
      <c r="I42" s="84">
        <f>'EEA+EFTA &amp; Accession Cand. &amp;UK'!G$31</f>
        <v>0</v>
      </c>
      <c r="J42" s="85" t="s">
        <v>140</v>
      </c>
      <c r="K42" s="102" t="s">
        <v>140</v>
      </c>
      <c r="L42" s="97">
        <f>'EEA+EFTA &amp; Accession Cand. &amp;UK'!G$41</f>
        <v>648.33709638989694</v>
      </c>
      <c r="M42" s="85">
        <v>41456</v>
      </c>
      <c r="N42" s="88">
        <f>(2000/1770)-1</f>
        <v>0.12994350282485878</v>
      </c>
      <c r="O42" s="98">
        <f>'EEA+EFTA &amp; Accession Cand. &amp;UK'!$G$47</f>
        <v>0.18</v>
      </c>
      <c r="P42" s="115"/>
    </row>
    <row r="43" spans="1:16" s="91" customFormat="1" ht="11.25" customHeight="1">
      <c r="A43" s="99" t="s">
        <v>106</v>
      </c>
      <c r="B43" s="100"/>
      <c r="C43" s="84">
        <f>'EEA+EFTA &amp; Accession Cand. &amp;UK'!H$13</f>
        <v>1250</v>
      </c>
      <c r="D43" s="85">
        <v>43466</v>
      </c>
      <c r="E43" s="88">
        <f>(1250/1050)-1</f>
        <v>0.19047619047619047</v>
      </c>
      <c r="F43" s="84">
        <f>'EEA+EFTA &amp; Accession Cand. &amp;UK'!H$21</f>
        <v>555.55555555555554</v>
      </c>
      <c r="G43" s="85">
        <v>40909</v>
      </c>
      <c r="H43" s="102" t="s">
        <v>140</v>
      </c>
      <c r="I43" s="84">
        <f>'EEA+EFTA &amp; Accession Cand. &amp;UK'!H$31</f>
        <v>0</v>
      </c>
      <c r="J43" s="85" t="s">
        <v>140</v>
      </c>
      <c r="K43" s="102" t="s">
        <v>140</v>
      </c>
      <c r="L43" s="97">
        <f>'EEA+EFTA &amp; Accession Cand. &amp;UK'!H$41</f>
        <v>500</v>
      </c>
      <c r="M43" s="85" t="s">
        <v>140</v>
      </c>
      <c r="N43" s="102" t="s">
        <v>140</v>
      </c>
      <c r="O43" s="98">
        <f>'EEA+EFTA &amp; Accession Cand. &amp;UK'!$H$47</f>
        <v>0.21</v>
      </c>
      <c r="P43" s="114"/>
    </row>
    <row r="44" spans="1:16" s="91" customFormat="1" ht="11.25" customHeight="1">
      <c r="A44" s="99" t="s">
        <v>138</v>
      </c>
      <c r="B44" s="100"/>
      <c r="C44" s="84">
        <f>'EEA+EFTA &amp; Accession Cand. &amp;UK'!I$13</f>
        <v>730.68023630075527</v>
      </c>
      <c r="D44" s="85">
        <v>43983</v>
      </c>
      <c r="E44" s="88">
        <f>(343.7/337.29)-1</f>
        <v>1.9004417563520892E-2</v>
      </c>
      <c r="F44" s="84">
        <f>'EEA+EFTA &amp; Accession Cand. &amp;UK'!I$21</f>
        <v>0</v>
      </c>
      <c r="G44" s="85" t="s">
        <v>140</v>
      </c>
      <c r="H44" s="102" t="s">
        <v>140</v>
      </c>
      <c r="I44" s="84">
        <f>'EEA+EFTA &amp; Accession Cand. &amp;UK'!I$31</f>
        <v>0</v>
      </c>
      <c r="J44" s="85" t="s">
        <v>140</v>
      </c>
      <c r="K44" s="102" t="s">
        <v>140</v>
      </c>
      <c r="L44" s="97">
        <f>'EEA+EFTA &amp; Accession Cand. &amp;UK'!I$41</f>
        <v>443.89302688273995</v>
      </c>
      <c r="M44" s="85">
        <v>43983</v>
      </c>
      <c r="N44" s="88">
        <f>(2610/2561)-1</f>
        <v>1.9133151112846525E-2</v>
      </c>
      <c r="O44" s="98">
        <f>'EEA+EFTA &amp; Accession Cand. &amp;UK'!$I$47</f>
        <v>0.2</v>
      </c>
      <c r="P44" s="69"/>
    </row>
    <row r="45" spans="1:16" s="91" customFormat="1" ht="11.25" customHeight="1">
      <c r="A45" s="140" t="s">
        <v>139</v>
      </c>
      <c r="B45" s="100"/>
      <c r="C45" s="133">
        <f>'EEA+EFTA &amp; Accession Cand. &amp;UK'!J$13</f>
        <v>3608.9541531465907</v>
      </c>
      <c r="D45" s="134">
        <v>44200</v>
      </c>
      <c r="E45" s="135">
        <f>(326.9929/279.2902)-1</f>
        <v>0.1707997631137792</v>
      </c>
      <c r="F45" s="133">
        <f>'EEA+EFTA &amp; Accession Cand. &amp;UK'!J$21</f>
        <v>5842.6962158503111</v>
      </c>
      <c r="G45" s="134">
        <v>44200</v>
      </c>
      <c r="H45" s="135">
        <f>(95.289/81.388)-1</f>
        <v>0.17079913500761768</v>
      </c>
      <c r="I45" s="133">
        <f>'EEA+EFTA &amp; Accession Cand. &amp;UK'!J$31</f>
        <v>1180.716508840474</v>
      </c>
      <c r="J45" s="134">
        <v>44200</v>
      </c>
      <c r="K45" s="135">
        <f>(11.7678/10.0511)-1</f>
        <v>0.17079722617424964</v>
      </c>
      <c r="L45" s="137">
        <f>'EEA+EFTA &amp; Accession Cand. &amp;UK'!J$41</f>
        <v>2641.4365494558856</v>
      </c>
      <c r="M45" s="134">
        <v>44200</v>
      </c>
      <c r="N45" s="135">
        <f>(2.3933/2.0442)-1</f>
        <v>0.17077585363467374</v>
      </c>
      <c r="O45" s="98">
        <f>'EEA+EFTA &amp; Accession Cand. &amp;UK'!$J$47</f>
        <v>0.18</v>
      </c>
      <c r="P45" s="69"/>
    </row>
    <row r="46" spans="1:16" s="56" customFormat="1" ht="8.0500000000000007" customHeight="1">
      <c r="A46" s="72"/>
      <c r="B46" s="63"/>
      <c r="C46" s="73"/>
      <c r="D46" s="65"/>
      <c r="E46" s="74"/>
      <c r="F46" s="65"/>
      <c r="G46" s="149"/>
      <c r="H46" s="65"/>
      <c r="I46" s="65"/>
      <c r="J46" s="65"/>
      <c r="K46" s="65"/>
      <c r="L46" s="65"/>
      <c r="M46" s="70"/>
      <c r="N46" s="65"/>
      <c r="O46" s="65"/>
      <c r="P46" s="65"/>
    </row>
    <row r="47" spans="1:16" s="56" customFormat="1" ht="11.25" customHeight="1">
      <c r="A47" s="150" t="s">
        <v>68</v>
      </c>
      <c r="B47" s="63"/>
      <c r="C47" s="73"/>
      <c r="D47" s="65"/>
      <c r="E47" s="74"/>
      <c r="F47" s="65"/>
      <c r="G47" s="149"/>
      <c r="H47" s="65"/>
      <c r="I47" s="65"/>
      <c r="J47" s="65"/>
      <c r="K47" s="65"/>
      <c r="L47" s="65"/>
      <c r="M47" s="70"/>
      <c r="N47" s="65"/>
      <c r="O47" s="65"/>
      <c r="P47" s="65"/>
    </row>
    <row r="48" spans="1:16" s="91" customFormat="1" ht="11.25" customHeight="1">
      <c r="A48" s="101" t="s">
        <v>132</v>
      </c>
      <c r="B48" s="100"/>
      <c r="C48" s="84">
        <f>'EEA+EFTA &amp; Accession Cand. &amp;UK'!L13</f>
        <v>3167.884659898813</v>
      </c>
      <c r="D48" s="85">
        <v>42807</v>
      </c>
      <c r="E48" s="88">
        <f>(2874/2766)-1</f>
        <v>3.9045553145336198E-2</v>
      </c>
      <c r="F48" s="84">
        <f>'EEA+EFTA &amp; Accession Cand. &amp;UK'!L21</f>
        <v>2429.3729263803011</v>
      </c>
      <c r="G48" s="85">
        <v>43497</v>
      </c>
      <c r="H48" s="88">
        <f>(396.72/384.82)-1</f>
        <v>3.0923548672106449E-2</v>
      </c>
      <c r="I48" s="84">
        <f>'EEA+EFTA &amp; Accession Cand. &amp;UK'!L31</f>
        <v>2981.8037522809191</v>
      </c>
      <c r="J48" s="85">
        <v>43497</v>
      </c>
      <c r="K48" s="88">
        <f>(297.57/288.65)-1</f>
        <v>3.0902477048328381E-2</v>
      </c>
      <c r="L48" s="84">
        <f>'EEA+EFTA &amp; Accession Cand. &amp;UK'!L41</f>
        <v>2103.1050560497338</v>
      </c>
      <c r="M48" s="85">
        <v>42807</v>
      </c>
      <c r="N48" s="88">
        <f>(1908/1837)-1</f>
        <v>3.8649972781709341E-2</v>
      </c>
      <c r="O48" s="87">
        <f>'EEA+EFTA &amp; Accession Cand. &amp;UK'!L49</f>
        <v>0.2</v>
      </c>
      <c r="P48" s="69"/>
    </row>
    <row r="49" spans="1:16" s="56" customFormat="1" ht="11.25" customHeight="1">
      <c r="A49" s="75" t="s">
        <v>143</v>
      </c>
      <c r="B49" s="76"/>
      <c r="C49" s="65"/>
      <c r="D49" s="65"/>
      <c r="E49" s="76"/>
      <c r="F49" s="65"/>
      <c r="G49" s="65"/>
      <c r="H49" s="65"/>
      <c r="I49" s="65"/>
      <c r="J49" s="65"/>
      <c r="K49" s="65"/>
      <c r="L49" s="65"/>
      <c r="M49" s="37"/>
      <c r="N49" s="2"/>
      <c r="O49" s="65"/>
      <c r="P49" s="65"/>
    </row>
    <row r="50" spans="1:16" s="56" customFormat="1" ht="11.25" customHeight="1">
      <c r="A50" s="75" t="s">
        <v>141</v>
      </c>
      <c r="B50" s="76"/>
      <c r="C50" s="65"/>
      <c r="D50" s="65"/>
      <c r="E50" s="65"/>
      <c r="F50" s="65"/>
      <c r="G50" s="65"/>
      <c r="H50" s="65"/>
      <c r="I50" s="65"/>
      <c r="J50" s="65"/>
      <c r="K50" s="65"/>
      <c r="L50" s="65"/>
      <c r="M50" s="37"/>
      <c r="N50" s="65"/>
      <c r="O50" s="65"/>
      <c r="P50" s="65"/>
    </row>
    <row r="51" spans="1:16" s="56" customFormat="1" ht="11.7">
      <c r="A51" s="75" t="s">
        <v>148</v>
      </c>
      <c r="B51" s="76"/>
      <c r="C51" s="76"/>
      <c r="D51" s="76"/>
      <c r="E51" s="76"/>
      <c r="F51" s="76"/>
      <c r="G51" s="76"/>
      <c r="H51" s="76"/>
      <c r="I51" s="77"/>
      <c r="J51" s="76"/>
      <c r="K51" s="76"/>
      <c r="L51" s="76"/>
      <c r="M51" s="37"/>
      <c r="N51" s="76"/>
      <c r="O51" s="76"/>
      <c r="P51" s="76"/>
    </row>
    <row r="52" spans="1:16" s="56" customFormat="1" ht="11.7">
      <c r="A52" s="37"/>
      <c r="B52" s="65"/>
      <c r="C52" s="65"/>
      <c r="D52" s="65"/>
      <c r="E52" s="76"/>
      <c r="F52" s="65"/>
      <c r="G52" s="65"/>
      <c r="H52" s="65"/>
      <c r="I52" s="65"/>
      <c r="J52" s="65"/>
      <c r="K52" s="65"/>
      <c r="L52" s="65"/>
      <c r="M52" s="37"/>
      <c r="N52" s="65"/>
      <c r="O52" s="65"/>
      <c r="P52" s="65"/>
    </row>
    <row r="53" spans="1:16" s="56" customFormat="1" ht="11.7">
      <c r="A53" s="70"/>
      <c r="B53" s="65"/>
      <c r="C53" s="65"/>
      <c r="D53" s="65"/>
      <c r="E53" s="78"/>
      <c r="F53" s="65"/>
      <c r="G53" s="65"/>
      <c r="H53" s="65"/>
      <c r="I53" s="65"/>
      <c r="J53" s="65"/>
      <c r="K53" s="65"/>
      <c r="L53" s="65"/>
      <c r="M53" s="70"/>
      <c r="N53" s="65"/>
      <c r="O53" s="65"/>
      <c r="P53" s="65"/>
    </row>
    <row r="54" spans="1:16" s="56" customFormat="1" ht="11.7">
      <c r="A54" s="8"/>
      <c r="B54" s="65"/>
      <c r="C54" s="65"/>
      <c r="D54" s="65"/>
      <c r="E54" s="78"/>
      <c r="F54" s="65"/>
      <c r="G54" s="65"/>
      <c r="H54" s="65"/>
      <c r="I54" s="65"/>
      <c r="J54" s="65"/>
      <c r="K54" s="65"/>
      <c r="L54" s="65"/>
      <c r="M54" s="8"/>
      <c r="N54" s="65"/>
      <c r="O54" s="65"/>
      <c r="P54" s="65"/>
    </row>
    <row r="55" spans="1:16" s="56" customFormat="1" ht="11.7">
      <c r="A55" s="70"/>
      <c r="B55" s="32"/>
      <c r="C55" s="65"/>
      <c r="D55" s="65"/>
      <c r="E55" s="65"/>
      <c r="F55" s="65"/>
      <c r="G55" s="65"/>
      <c r="H55" s="65"/>
      <c r="I55" s="65"/>
      <c r="J55" s="65"/>
      <c r="K55" s="65"/>
      <c r="L55" s="65"/>
      <c r="M55" s="70"/>
      <c r="N55" s="65"/>
      <c r="O55" s="65"/>
      <c r="P55" s="65"/>
    </row>
    <row r="56" spans="1:16" ht="11.4">
      <c r="E56" s="79"/>
    </row>
    <row r="57" spans="1:16" ht="11.4">
      <c r="E57" s="79"/>
    </row>
    <row r="58" spans="1:16" ht="11.4">
      <c r="E58" s="79"/>
    </row>
    <row r="59" spans="1:16" ht="11.4">
      <c r="E59" s="79"/>
    </row>
    <row r="60" spans="1:16" ht="11.4">
      <c r="E60" s="79"/>
    </row>
    <row r="61" spans="1:16" ht="11.4">
      <c r="E61" s="79"/>
    </row>
    <row r="62" spans="1:16" ht="11.4">
      <c r="E62" s="79"/>
    </row>
    <row r="63" spans="1:16" ht="11.4">
      <c r="E63" s="79"/>
    </row>
    <row r="64" spans="1:16" ht="11.4">
      <c r="E64" s="79"/>
    </row>
    <row r="65" spans="5:5" ht="11.4">
      <c r="E65" s="79"/>
    </row>
    <row r="66" spans="5:5" ht="11.4">
      <c r="E66" s="79"/>
    </row>
    <row r="67" spans="5:5" ht="11.4">
      <c r="E67" s="79"/>
    </row>
    <row r="68" spans="5:5" ht="11.4">
      <c r="E68" s="79"/>
    </row>
    <row r="69" spans="5:5" ht="11.4">
      <c r="E69" s="79"/>
    </row>
    <row r="70" spans="5:5" ht="11.4">
      <c r="E70" s="79"/>
    </row>
    <row r="71" spans="5:5" ht="11.4">
      <c r="E71" s="79"/>
    </row>
    <row r="72" spans="5:5" ht="11.4">
      <c r="E72" s="79"/>
    </row>
    <row r="73" spans="5:5" ht="11.4">
      <c r="E73" s="79"/>
    </row>
    <row r="74" spans="5:5" ht="11.4">
      <c r="E74" s="79"/>
    </row>
    <row r="75" spans="5:5" ht="11.4">
      <c r="E75" s="79"/>
    </row>
    <row r="76" spans="5:5" ht="11.4">
      <c r="E76" s="79"/>
    </row>
    <row r="77" spans="5:5" ht="11.4">
      <c r="E77" s="79"/>
    </row>
    <row r="78" spans="5:5" ht="11.4">
      <c r="E78" s="79"/>
    </row>
    <row r="79" spans="5:5" ht="11.4">
      <c r="E79" s="79"/>
    </row>
    <row r="80" spans="5:5" ht="11.4">
      <c r="E80" s="79"/>
    </row>
    <row r="81" spans="5:5" ht="11.4">
      <c r="E81" s="79"/>
    </row>
    <row r="82" spans="5:5" ht="11.4">
      <c r="E82" s="79"/>
    </row>
    <row r="83" spans="5:5" ht="11.4">
      <c r="E83" s="79"/>
    </row>
    <row r="84" spans="5:5" ht="11.4">
      <c r="E84" s="79"/>
    </row>
    <row r="85" spans="5:5" ht="11.4">
      <c r="E85" s="79"/>
    </row>
    <row r="86" spans="5:5" ht="11.4">
      <c r="E86" s="79"/>
    </row>
    <row r="87" spans="5:5" ht="11.4">
      <c r="E87" s="79"/>
    </row>
    <row r="88" spans="5:5" ht="11.4">
      <c r="E88" s="79"/>
    </row>
    <row r="89" spans="5:5" ht="11.4">
      <c r="E89" s="79"/>
    </row>
    <row r="90" spans="5:5" ht="11.4">
      <c r="E90" s="79"/>
    </row>
    <row r="91" spans="5:5" ht="11.4">
      <c r="E91" s="79"/>
    </row>
    <row r="92" spans="5:5" ht="11.4">
      <c r="E92" s="79"/>
    </row>
    <row r="93" spans="5:5" ht="11.4">
      <c r="E93" s="79"/>
    </row>
    <row r="94" spans="5:5" ht="11.4">
      <c r="E94" s="79"/>
    </row>
    <row r="95" spans="5:5" ht="11.4">
      <c r="E95" s="79"/>
    </row>
    <row r="96" spans="5:5" ht="11.4">
      <c r="E96" s="79"/>
    </row>
    <row r="97" spans="5:5" ht="11.4">
      <c r="E97" s="79"/>
    </row>
    <row r="98" spans="5:5" ht="11.4">
      <c r="E98" s="79"/>
    </row>
    <row r="99" spans="5:5" ht="11.4">
      <c r="E99" s="79"/>
    </row>
    <row r="100" spans="5:5" ht="11.4">
      <c r="E100" s="79"/>
    </row>
    <row r="101" spans="5:5" ht="11.4">
      <c r="E101" s="79"/>
    </row>
    <row r="102" spans="5:5" ht="11.4">
      <c r="E102" s="79"/>
    </row>
    <row r="103" spans="5:5" ht="11.4">
      <c r="E103" s="79"/>
    </row>
    <row r="104" spans="5:5" ht="11.4">
      <c r="E104" s="79"/>
    </row>
  </sheetData>
  <mergeCells count="6">
    <mergeCell ref="A1:O1"/>
    <mergeCell ref="A2:O2"/>
    <mergeCell ref="C5:E5"/>
    <mergeCell ref="F5:H5"/>
    <mergeCell ref="I5:K5"/>
    <mergeCell ref="L5:N5"/>
  </mergeCells>
  <pageMargins left="0.23622047244094491" right="0.23622047244094491" top="0.31496062992125984" bottom="0.31496062992125984" header="0.31496062992125984" footer="0.31496062992125984"/>
  <pageSetup paperSize="9" scale="98"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2"/>
  <sheetViews>
    <sheetView tabSelected="1" view="pageBreakPreview" topLeftCell="A51" zoomScaleNormal="100" zoomScaleSheetLayoutView="100" workbookViewId="0">
      <selection activeCell="A53" sqref="A53"/>
    </sheetView>
  </sheetViews>
  <sheetFormatPr defaultColWidth="10.5546875" defaultRowHeight="12.6"/>
  <cols>
    <col min="1" max="1" width="153" style="13" customWidth="1"/>
    <col min="2" max="2" width="1.5546875" style="13" hidden="1" customWidth="1"/>
    <col min="3" max="16384" width="10.5546875" style="13"/>
  </cols>
  <sheetData>
    <row r="1" spans="1:1" s="12" customFormat="1" ht="31.5" customHeight="1">
      <c r="A1" s="239" t="s">
        <v>193</v>
      </c>
    </row>
    <row r="2" spans="1:1" s="17" customFormat="1" ht="50.25" customHeight="1">
      <c r="A2" s="240"/>
    </row>
    <row r="3" spans="1:1" s="29" customFormat="1" ht="11.7">
      <c r="A3" s="30" t="s">
        <v>99</v>
      </c>
    </row>
    <row r="4" spans="1:1" s="29" customFormat="1" ht="11.7">
      <c r="A4" s="30"/>
    </row>
    <row r="5" spans="1:1" s="15" customFormat="1" ht="104.25" customHeight="1">
      <c r="A5" s="109" t="s">
        <v>196</v>
      </c>
    </row>
    <row r="6" spans="1:1" s="15" customFormat="1" ht="70.2">
      <c r="A6" s="109" t="s">
        <v>153</v>
      </c>
    </row>
    <row r="7" spans="1:1" s="15" customFormat="1" ht="49.5" customHeight="1">
      <c r="A7" s="110" t="s">
        <v>149</v>
      </c>
    </row>
    <row r="8" spans="1:1" s="15" customFormat="1" ht="45.75" customHeight="1">
      <c r="A8" s="110" t="s">
        <v>154</v>
      </c>
    </row>
    <row r="9" spans="1:1" s="15" customFormat="1" ht="71.25" customHeight="1">
      <c r="A9" s="110" t="s">
        <v>155</v>
      </c>
    </row>
    <row r="10" spans="1:1" s="15" customFormat="1" ht="114" customHeight="1">
      <c r="A10" s="109" t="s">
        <v>156</v>
      </c>
    </row>
    <row r="11" spans="1:1" s="15" customFormat="1" ht="11.7">
      <c r="A11" s="83"/>
    </row>
    <row r="12" spans="1:1" s="17" customFormat="1" ht="11.7">
      <c r="A12" s="18"/>
    </row>
    <row r="13" spans="1:1" s="29" customFormat="1" ht="11.7">
      <c r="A13" s="30" t="s">
        <v>146</v>
      </c>
    </row>
    <row r="14" spans="1:1" s="17" customFormat="1" ht="105.3">
      <c r="A14" s="18" t="s">
        <v>157</v>
      </c>
    </row>
    <row r="15" spans="1:1" s="17" customFormat="1" ht="11.7">
      <c r="A15" s="18"/>
    </row>
    <row r="16" spans="1:1" s="29" customFormat="1" ht="11.7">
      <c r="A16" s="30" t="s">
        <v>52</v>
      </c>
    </row>
    <row r="17" spans="1:1" s="17" customFormat="1" ht="81.900000000000006">
      <c r="A17" s="18" t="s">
        <v>209</v>
      </c>
    </row>
    <row r="18" spans="1:1" s="17" customFormat="1" ht="11.7">
      <c r="A18" s="18"/>
    </row>
    <row r="19" spans="1:1" s="17" customFormat="1" ht="11.7">
      <c r="A19" s="30" t="s">
        <v>53</v>
      </c>
    </row>
    <row r="20" spans="1:1" s="17" customFormat="1" ht="105.3">
      <c r="A20" s="18" t="s">
        <v>161</v>
      </c>
    </row>
    <row r="21" spans="1:1" s="17" customFormat="1" ht="11.7">
      <c r="A21" s="18"/>
    </row>
    <row r="22" spans="1:1" s="17" customFormat="1" ht="11.7">
      <c r="A22" s="30" t="s">
        <v>85</v>
      </c>
    </row>
    <row r="23" spans="1:1" s="17" customFormat="1" ht="105.3">
      <c r="A23" s="18" t="s">
        <v>212</v>
      </c>
    </row>
    <row r="24" spans="1:1" s="17" customFormat="1" ht="11.7">
      <c r="A24" s="18"/>
    </row>
    <row r="25" spans="1:1" s="17" customFormat="1" ht="11.7">
      <c r="A25" s="30" t="s">
        <v>113</v>
      </c>
    </row>
    <row r="26" spans="1:1" s="17" customFormat="1" ht="117">
      <c r="A26" s="18" t="s">
        <v>174</v>
      </c>
    </row>
    <row r="27" spans="1:1" s="17" customFormat="1" ht="11.7">
      <c r="A27" s="18"/>
    </row>
    <row r="28" spans="1:1" s="17" customFormat="1" ht="11.7">
      <c r="A28" s="30" t="s">
        <v>2</v>
      </c>
    </row>
    <row r="29" spans="1:1" s="17" customFormat="1" ht="23.4">
      <c r="A29" s="18" t="s">
        <v>162</v>
      </c>
    </row>
    <row r="30" spans="1:1" s="17" customFormat="1" ht="11.7">
      <c r="A30" s="18"/>
    </row>
    <row r="31" spans="1:1" s="17" customFormat="1" ht="11.7">
      <c r="A31" s="30" t="s">
        <v>4</v>
      </c>
    </row>
    <row r="32" spans="1:1" s="17" customFormat="1" ht="102.75" customHeight="1">
      <c r="A32" s="18" t="s">
        <v>173</v>
      </c>
    </row>
    <row r="33" spans="1:1" s="17" customFormat="1" ht="11.7">
      <c r="A33" s="18"/>
    </row>
    <row r="34" spans="1:1" s="17" customFormat="1" ht="11.7">
      <c r="A34" s="30" t="s">
        <v>54</v>
      </c>
    </row>
    <row r="35" spans="1:1" s="17" customFormat="1" ht="67.5" customHeight="1">
      <c r="A35" s="18" t="s">
        <v>163</v>
      </c>
    </row>
    <row r="36" spans="1:1" s="17" customFormat="1" ht="11.7">
      <c r="A36" s="18"/>
    </row>
    <row r="37" spans="1:1" s="17" customFormat="1" ht="11.7">
      <c r="A37" s="30" t="s">
        <v>5</v>
      </c>
    </row>
    <row r="38" spans="1:1" s="17" customFormat="1" ht="70.2">
      <c r="A38" s="18" t="s">
        <v>171</v>
      </c>
    </row>
    <row r="39" spans="1:1" s="17" customFormat="1" ht="11.7">
      <c r="A39" s="18"/>
    </row>
    <row r="40" spans="1:1" s="17" customFormat="1" ht="11.7">
      <c r="A40" s="30" t="s">
        <v>55</v>
      </c>
    </row>
    <row r="41" spans="1:1" s="17" customFormat="1" ht="128.69999999999999">
      <c r="A41" s="18" t="s">
        <v>208</v>
      </c>
    </row>
    <row r="42" spans="1:1" s="17" customFormat="1" ht="11.7">
      <c r="A42" s="18"/>
    </row>
    <row r="43" spans="1:1" s="17" customFormat="1" ht="11.7">
      <c r="A43" s="30" t="s">
        <v>56</v>
      </c>
    </row>
    <row r="44" spans="1:1" s="17" customFormat="1" ht="175.5">
      <c r="A44" s="18" t="s">
        <v>189</v>
      </c>
    </row>
    <row r="45" spans="1:1" s="17" customFormat="1" ht="11.7">
      <c r="A45" s="18"/>
    </row>
    <row r="46" spans="1:1" s="17" customFormat="1" ht="11.7">
      <c r="A46" s="30" t="s">
        <v>57</v>
      </c>
    </row>
    <row r="47" spans="1:1" s="17" customFormat="1" ht="93.6">
      <c r="A47" s="18" t="s">
        <v>182</v>
      </c>
    </row>
    <row r="48" spans="1:1" s="17" customFormat="1" ht="11.7">
      <c r="A48" s="18"/>
    </row>
    <row r="49" spans="1:2" s="17" customFormat="1" ht="11.7">
      <c r="A49" s="30" t="s">
        <v>58</v>
      </c>
    </row>
    <row r="50" spans="1:2" s="17" customFormat="1" ht="210.6">
      <c r="A50" s="18" t="s">
        <v>170</v>
      </c>
    </row>
    <row r="51" spans="1:2" s="17" customFormat="1" ht="11.7">
      <c r="A51" s="18"/>
    </row>
    <row r="52" spans="1:2" s="17" customFormat="1" ht="11.7">
      <c r="A52" s="30" t="s">
        <v>6</v>
      </c>
    </row>
    <row r="53" spans="1:2" s="17" customFormat="1" ht="140.4">
      <c r="A53" s="18" t="s">
        <v>214</v>
      </c>
    </row>
    <row r="54" spans="1:2" s="17" customFormat="1" ht="11.7">
      <c r="A54" s="18"/>
    </row>
    <row r="55" spans="1:2" s="19" customFormat="1" ht="11.7">
      <c r="A55" s="30" t="s">
        <v>150</v>
      </c>
      <c r="B55" s="17"/>
    </row>
    <row r="56" spans="1:2" s="19" customFormat="1" ht="93.6">
      <c r="A56" s="18" t="s">
        <v>203</v>
      </c>
      <c r="B56" s="17"/>
    </row>
    <row r="57" spans="1:2" s="17" customFormat="1" ht="11.7">
      <c r="A57" s="18"/>
    </row>
    <row r="58" spans="1:2" s="17" customFormat="1" ht="11.7">
      <c r="A58" s="30" t="s">
        <v>12</v>
      </c>
    </row>
    <row r="59" spans="1:2" s="17" customFormat="1" ht="117">
      <c r="A59" s="18" t="s">
        <v>179</v>
      </c>
    </row>
    <row r="60" spans="1:2" s="17" customFormat="1" ht="13.5" customHeight="1">
      <c r="A60" s="18"/>
    </row>
    <row r="61" spans="1:2" s="17" customFormat="1" ht="11.7">
      <c r="A61" s="30" t="s">
        <v>59</v>
      </c>
    </row>
    <row r="62" spans="1:2" s="17" customFormat="1" ht="58.5">
      <c r="A62" s="18" t="s">
        <v>158</v>
      </c>
    </row>
    <row r="63" spans="1:2" s="17" customFormat="1" ht="11.7">
      <c r="A63" s="18"/>
    </row>
    <row r="64" spans="1:2" s="17" customFormat="1" ht="11.7">
      <c r="A64" s="30" t="s">
        <v>7</v>
      </c>
    </row>
    <row r="65" spans="1:1" s="17" customFormat="1" ht="70.2">
      <c r="A65" s="18" t="s">
        <v>177</v>
      </c>
    </row>
    <row r="66" spans="1:1" s="17" customFormat="1" ht="11.7">
      <c r="A66" s="18"/>
    </row>
    <row r="67" spans="1:1" s="17" customFormat="1" ht="11.7">
      <c r="A67" s="30" t="s">
        <v>8</v>
      </c>
    </row>
    <row r="68" spans="1:1" s="17" customFormat="1" ht="117">
      <c r="A68" s="18" t="s">
        <v>175</v>
      </c>
    </row>
    <row r="69" spans="1:1" s="17" customFormat="1" ht="11.7">
      <c r="A69" s="18"/>
    </row>
    <row r="70" spans="1:1" s="17" customFormat="1" ht="11.7">
      <c r="A70" s="30" t="s">
        <v>60</v>
      </c>
    </row>
    <row r="71" spans="1:1" s="17" customFormat="1" ht="70.2">
      <c r="A71" s="18" t="s">
        <v>164</v>
      </c>
    </row>
    <row r="72" spans="1:1" s="17" customFormat="1" ht="11.7">
      <c r="A72" s="18"/>
    </row>
    <row r="73" spans="1:1" s="17" customFormat="1" ht="11.7">
      <c r="A73" s="30" t="s">
        <v>96</v>
      </c>
    </row>
    <row r="74" spans="1:1" s="17" customFormat="1" ht="35.1">
      <c r="A74" s="18" t="s">
        <v>152</v>
      </c>
    </row>
    <row r="75" spans="1:1" s="17" customFormat="1" ht="11.7">
      <c r="A75" s="18"/>
    </row>
    <row r="76" spans="1:1" s="17" customFormat="1" ht="11.7">
      <c r="A76" s="30" t="s">
        <v>9</v>
      </c>
    </row>
    <row r="77" spans="1:1" s="17" customFormat="1" ht="70.2">
      <c r="A77" s="18" t="s">
        <v>159</v>
      </c>
    </row>
    <row r="78" spans="1:1" s="17" customFormat="1" ht="11.7">
      <c r="A78" s="18"/>
    </row>
    <row r="79" spans="1:1" s="17" customFormat="1" ht="11.7">
      <c r="A79" s="30" t="s">
        <v>97</v>
      </c>
    </row>
    <row r="80" spans="1:1" s="17" customFormat="1" ht="35.1">
      <c r="A80" s="107" t="s">
        <v>165</v>
      </c>
    </row>
    <row r="81" spans="1:1" s="17" customFormat="1" ht="11.7">
      <c r="A81" s="18"/>
    </row>
    <row r="82" spans="1:1" s="17" customFormat="1" ht="11.7">
      <c r="A82" s="30" t="s">
        <v>62</v>
      </c>
    </row>
    <row r="83" spans="1:1" s="17" customFormat="1" ht="64.5" customHeight="1">
      <c r="A83" s="18" t="s">
        <v>166</v>
      </c>
    </row>
    <row r="84" spans="1:1" s="17" customFormat="1" ht="11.7">
      <c r="A84" s="18"/>
    </row>
    <row r="85" spans="1:1" s="17" customFormat="1" ht="11.7">
      <c r="A85" s="30" t="s">
        <v>0</v>
      </c>
    </row>
    <row r="86" spans="1:1" s="17" customFormat="1" ht="117">
      <c r="A86" s="18" t="s">
        <v>200</v>
      </c>
    </row>
    <row r="87" spans="1:1" s="17" customFormat="1" ht="11.7">
      <c r="A87" s="18"/>
    </row>
    <row r="88" spans="1:1" s="17" customFormat="1" ht="11.7">
      <c r="A88" s="30" t="s">
        <v>10</v>
      </c>
    </row>
    <row r="89" spans="1:1" s="17" customFormat="1" ht="81.900000000000006">
      <c r="A89" s="18" t="s">
        <v>201</v>
      </c>
    </row>
    <row r="90" spans="1:1" s="17" customFormat="1" ht="11.7">
      <c r="A90" s="18"/>
    </row>
    <row r="91" spans="1:1" s="17" customFormat="1" ht="11.7">
      <c r="A91" s="30" t="s">
        <v>61</v>
      </c>
    </row>
    <row r="92" spans="1:1" s="17" customFormat="1" ht="152.1">
      <c r="A92" s="18" t="s">
        <v>176</v>
      </c>
    </row>
    <row r="93" spans="1:1" s="17" customFormat="1" ht="11.7">
      <c r="A93" s="18"/>
    </row>
    <row r="94" spans="1:1" s="17" customFormat="1" ht="11.7">
      <c r="A94" s="30" t="s">
        <v>89</v>
      </c>
    </row>
    <row r="95" spans="1:1" s="17" customFormat="1" ht="105.3">
      <c r="A95" s="18" t="s">
        <v>198</v>
      </c>
    </row>
    <row r="96" spans="1:1" s="17" customFormat="1" ht="11.7">
      <c r="A96" s="18"/>
    </row>
    <row r="97" spans="1:2" s="17" customFormat="1" ht="11.7">
      <c r="A97" s="30" t="s">
        <v>98</v>
      </c>
    </row>
    <row r="98" spans="1:2" s="17" customFormat="1" ht="93.6">
      <c r="A98" s="18" t="s">
        <v>180</v>
      </c>
    </row>
    <row r="99" spans="1:2" s="17" customFormat="1" ht="11.7">
      <c r="A99" s="18"/>
    </row>
    <row r="100" spans="1:2" s="17" customFormat="1" ht="11.7">
      <c r="A100" s="30" t="s">
        <v>88</v>
      </c>
    </row>
    <row r="101" spans="1:2" s="17" customFormat="1" ht="93.6">
      <c r="A101" s="18" t="s">
        <v>167</v>
      </c>
    </row>
    <row r="102" spans="1:2" s="17" customFormat="1" ht="11.7">
      <c r="A102" s="18"/>
    </row>
    <row r="103" spans="1:2" s="17" customFormat="1" ht="11.7">
      <c r="A103" s="30" t="s">
        <v>11</v>
      </c>
    </row>
    <row r="104" spans="1:2" s="17" customFormat="1" ht="58.5">
      <c r="A104" s="18" t="s">
        <v>168</v>
      </c>
    </row>
    <row r="105" spans="1:2" s="17" customFormat="1" ht="11.7">
      <c r="A105" s="18"/>
    </row>
    <row r="106" spans="1:2" s="17" customFormat="1" ht="11.7">
      <c r="A106" s="30" t="s">
        <v>1</v>
      </c>
    </row>
    <row r="107" spans="1:2" s="17" customFormat="1" ht="128.69999999999999">
      <c r="A107" s="18" t="s">
        <v>160</v>
      </c>
    </row>
    <row r="108" spans="1:2" s="17" customFormat="1" ht="11.7">
      <c r="A108" s="18"/>
    </row>
    <row r="109" spans="1:2" s="17" customFormat="1" ht="11.7">
      <c r="A109" s="30" t="s">
        <v>87</v>
      </c>
    </row>
    <row r="110" spans="1:2" s="17" customFormat="1" ht="70.2">
      <c r="A110" s="18" t="s">
        <v>172</v>
      </c>
    </row>
    <row r="111" spans="1:2" s="17" customFormat="1" ht="11.7">
      <c r="A111" s="18"/>
    </row>
    <row r="112" spans="1:2" s="20" customFormat="1" ht="11.7">
      <c r="A112" s="30" t="s">
        <v>84</v>
      </c>
      <c r="B112" s="17"/>
    </row>
    <row r="113" spans="1:2" s="20" customFormat="1" ht="81.900000000000006">
      <c r="A113" s="18" t="s">
        <v>169</v>
      </c>
      <c r="B113" s="17"/>
    </row>
    <row r="114" spans="1:2" s="17" customFormat="1" ht="11.7">
      <c r="A114" s="18"/>
    </row>
    <row r="115" spans="1:2" s="17" customFormat="1" ht="11.7">
      <c r="A115" s="30" t="s">
        <v>3</v>
      </c>
    </row>
    <row r="116" spans="1:2" s="17" customFormat="1" ht="93.6">
      <c r="A116" s="18" t="s">
        <v>199</v>
      </c>
    </row>
    <row r="117" spans="1:2" s="17" customFormat="1" ht="11.7">
      <c r="A117" s="18"/>
    </row>
    <row r="118" spans="1:2" s="21" customFormat="1" ht="11.7">
      <c r="A118" s="30" t="s">
        <v>68</v>
      </c>
      <c r="B118" s="17"/>
    </row>
    <row r="119" spans="1:2" s="17" customFormat="1" ht="306.75" customHeight="1">
      <c r="A119" s="18" t="s">
        <v>206</v>
      </c>
    </row>
    <row r="120" spans="1:2" s="17" customFormat="1" ht="11.7">
      <c r="A120" s="16"/>
    </row>
    <row r="121" spans="1:2" s="15" customFormat="1" ht="11.7">
      <c r="A121" s="22"/>
    </row>
    <row r="122" spans="1:2" s="15" customFormat="1" ht="23.4">
      <c r="A122" s="25" t="s">
        <v>194</v>
      </c>
      <c r="B122" s="23"/>
    </row>
  </sheetData>
  <mergeCells count="1">
    <mergeCell ref="A1:A2"/>
  </mergeCells>
  <pageMargins left="0.31496062992125984" right="0.31496062992125984" top="0.31496062992125984" bottom="0.31496062992125984" header="0.19685039370078741" footer="0.19685039370078741"/>
  <pageSetup paperSize="9" scale="87" fitToHeight="0" orientation="landscape" r:id="rId1"/>
  <headerFooter alignWithMargins="0">
    <oddFooter>&amp;R&amp;F</oddFooter>
  </headerFooter>
  <rowBreaks count="10" manualBreakCount="10">
    <brk id="12" max="16383" man="1"/>
    <brk id="24" max="16383" man="1"/>
    <brk id="39" max="16383" man="1"/>
    <brk id="48" max="16383" man="1"/>
    <brk id="54" max="16383" man="1"/>
    <brk id="66" max="16383" man="1"/>
    <brk id="81" max="16383" man="1"/>
    <brk id="93" max="16383" man="1"/>
    <brk id="102" max="16383" man="1"/>
    <brk id="11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
  <sheetViews>
    <sheetView zoomScaleNormal="100" zoomScaleSheetLayoutView="100" zoomScalePageLayoutView="85" workbookViewId="0">
      <selection sqref="A1:A2"/>
    </sheetView>
  </sheetViews>
  <sheetFormatPr defaultColWidth="9.109375" defaultRowHeight="12.6"/>
  <cols>
    <col min="1" max="1" width="119.27734375" style="24" customWidth="1"/>
    <col min="2" max="2" width="10.71875" style="126" customWidth="1"/>
    <col min="3" max="3" width="91" style="13" customWidth="1"/>
    <col min="4" max="18" width="10.71875" style="13" customWidth="1"/>
    <col min="19" max="16384" width="9.109375" style="13"/>
  </cols>
  <sheetData>
    <row r="1" spans="1:2" s="14" customFormat="1" ht="31.5" customHeight="1">
      <c r="A1" s="239" t="s">
        <v>188</v>
      </c>
      <c r="B1" s="119"/>
    </row>
    <row r="2" spans="1:2" s="17" customFormat="1" ht="50.25" customHeight="1">
      <c r="A2" s="241"/>
      <c r="B2" s="120"/>
    </row>
    <row r="3" spans="1:2" s="17" customFormat="1" ht="18.75" customHeight="1">
      <c r="A3" s="82" t="s">
        <v>195</v>
      </c>
      <c r="B3" s="120"/>
    </row>
    <row r="4" spans="1:2" s="17" customFormat="1">
      <c r="A4" s="141" t="s">
        <v>205</v>
      </c>
      <c r="B4"/>
    </row>
    <row r="5" spans="1:2" s="17" customFormat="1">
      <c r="A5" s="141"/>
      <c r="B5"/>
    </row>
    <row r="6" spans="1:2" s="17" customFormat="1">
      <c r="A6" s="82" t="s">
        <v>52</v>
      </c>
      <c r="B6"/>
    </row>
    <row r="7" spans="1:2" s="120" customFormat="1">
      <c r="A7" s="227" t="s">
        <v>210</v>
      </c>
      <c r="B7" s="226"/>
    </row>
    <row r="8" spans="1:2" s="120" customFormat="1">
      <c r="A8" s="227"/>
      <c r="B8" s="226"/>
    </row>
    <row r="9" spans="1:2" s="120" customFormat="1">
      <c r="A9" s="82" t="s">
        <v>211</v>
      </c>
      <c r="B9" s="226"/>
    </row>
    <row r="10" spans="1:2" s="120" customFormat="1">
      <c r="A10" s="227" t="s">
        <v>213</v>
      </c>
      <c r="B10" s="226"/>
    </row>
    <row r="11" spans="1:2" s="120" customFormat="1">
      <c r="A11" s="141"/>
      <c r="B11" s="226"/>
    </row>
    <row r="12" spans="1:2" s="17" customFormat="1">
      <c r="A12" s="82" t="s">
        <v>55</v>
      </c>
      <c r="B12"/>
    </row>
    <row r="13" spans="1:2" s="17" customFormat="1">
      <c r="A13" s="141" t="s">
        <v>190</v>
      </c>
      <c r="B13"/>
    </row>
    <row r="14" spans="1:2" s="17" customFormat="1" ht="13.45" customHeight="1">
      <c r="A14" s="127"/>
      <c r="B14" s="120"/>
    </row>
    <row r="15" spans="1:2" s="108" customFormat="1" ht="11.7">
      <c r="A15" s="82" t="s">
        <v>56</v>
      </c>
      <c r="B15" s="121"/>
    </row>
    <row r="16" spans="1:2" s="108" customFormat="1" ht="11.7">
      <c r="A16" s="141" t="s">
        <v>190</v>
      </c>
      <c r="B16" s="121"/>
    </row>
    <row r="17" spans="1:2" s="108" customFormat="1" ht="11.7">
      <c r="A17" s="136"/>
      <c r="B17" s="121"/>
    </row>
    <row r="18" spans="1:2" s="108" customFormat="1" ht="11.7">
      <c r="A18" s="82" t="s">
        <v>57</v>
      </c>
      <c r="B18" s="121"/>
    </row>
    <row r="19" spans="1:2" s="108" customFormat="1" ht="13.45" customHeight="1">
      <c r="A19" s="141" t="s">
        <v>183</v>
      </c>
      <c r="B19" s="121"/>
    </row>
    <row r="20" spans="1:2" s="108" customFormat="1" ht="13.45" customHeight="1">
      <c r="A20" s="132"/>
      <c r="B20" s="121"/>
    </row>
    <row r="21" spans="1:2" s="108" customFormat="1" ht="11.7">
      <c r="A21" s="82" t="s">
        <v>6</v>
      </c>
      <c r="B21" s="121"/>
    </row>
    <row r="22" spans="1:2" s="108" customFormat="1" ht="11.7">
      <c r="A22" s="142" t="s">
        <v>192</v>
      </c>
      <c r="B22" s="121"/>
    </row>
    <row r="23" spans="1:2" s="108" customFormat="1" ht="11.7">
      <c r="A23" s="142"/>
      <c r="B23" s="121"/>
    </row>
    <row r="24" spans="1:2" s="108" customFormat="1" ht="11.7">
      <c r="A24" s="82" t="s">
        <v>202</v>
      </c>
      <c r="B24" s="121"/>
    </row>
    <row r="25" spans="1:2" s="108" customFormat="1" ht="11.7">
      <c r="A25" s="142" t="s">
        <v>204</v>
      </c>
      <c r="B25" s="121"/>
    </row>
    <row r="26" spans="1:2" s="18" customFormat="1" ht="15.6">
      <c r="A26" s="148"/>
      <c r="B26" s="123"/>
    </row>
    <row r="27" spans="1:2" s="26" customFormat="1" ht="11.7">
      <c r="A27" s="82" t="s">
        <v>181</v>
      </c>
      <c r="B27" s="124"/>
    </row>
    <row r="28" spans="1:2" s="27" customFormat="1" ht="11.7">
      <c r="A28" s="141" t="s">
        <v>197</v>
      </c>
      <c r="B28" s="122"/>
    </row>
    <row r="29" spans="1:2" s="18" customFormat="1" ht="11.7">
      <c r="A29" s="136"/>
      <c r="B29" s="123"/>
    </row>
    <row r="30" spans="1:2" s="26" customFormat="1" ht="11.7">
      <c r="A30" s="82" t="s">
        <v>10</v>
      </c>
      <c r="B30" s="124"/>
    </row>
    <row r="31" spans="1:2" s="27" customFormat="1" ht="11.7">
      <c r="A31" s="141" t="s">
        <v>191</v>
      </c>
      <c r="B31" s="122"/>
    </row>
    <row r="32" spans="1:2" s="18" customFormat="1" ht="11.7">
      <c r="A32" s="132"/>
      <c r="B32" s="123"/>
    </row>
    <row r="33" spans="1:2" s="18" customFormat="1" ht="11.7">
      <c r="A33" s="82" t="s">
        <v>89</v>
      </c>
      <c r="B33" s="123"/>
    </row>
    <row r="34" spans="1:2" s="28" customFormat="1" ht="11.7">
      <c r="A34" s="142" t="s">
        <v>190</v>
      </c>
      <c r="B34" s="125"/>
    </row>
    <row r="35" spans="1:2" s="14" customFormat="1">
      <c r="A35" s="24"/>
      <c r="B35" s="119"/>
    </row>
    <row r="36" spans="1:2" s="14" customFormat="1">
      <c r="A36" s="82" t="s">
        <v>178</v>
      </c>
      <c r="B36" s="119"/>
    </row>
    <row r="37" spans="1:2">
      <c r="A37" s="141" t="s">
        <v>187</v>
      </c>
    </row>
    <row r="38" spans="1:2">
      <c r="A38" s="132"/>
    </row>
    <row r="39" spans="1:2">
      <c r="A39" s="82" t="s">
        <v>27</v>
      </c>
    </row>
    <row r="40" spans="1:2" ht="23.4">
      <c r="A40" s="142" t="s">
        <v>207</v>
      </c>
    </row>
  </sheetData>
  <mergeCells count="1">
    <mergeCell ref="A1:A2"/>
  </mergeCells>
  <pageMargins left="0.31496062992125984" right="0.34313725490196079" top="0.31496062992125984" bottom="0.31496062992125984" header="0.19685039370078741" footer="0.19685039370078741"/>
  <pageSetup paperSize="9" scale="90"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F9B3F975CC3E40AFC20939D6346A75" ma:contentTypeVersion="13" ma:contentTypeDescription="Create a new document." ma:contentTypeScope="" ma:versionID="9a0ee86912a9dd525c1196f654573d9e">
  <xsd:schema xmlns:xsd="http://www.w3.org/2001/XMLSchema" xmlns:xs="http://www.w3.org/2001/XMLSchema" xmlns:p="http://schemas.microsoft.com/office/2006/metadata/properties" xmlns:ns2="b6f7f836-be80-424e-a337-3f20de8f4731" xmlns:ns3="719a5b10-6f87-4933-90bd-9d2934b0849d" targetNamespace="http://schemas.microsoft.com/office/2006/metadata/properties" ma:root="true" ma:fieldsID="e0ee553785cff34e8942c3293d670ce2" ns2:_="" ns3:_="">
    <xsd:import namespace="b6f7f836-be80-424e-a337-3f20de8f4731"/>
    <xsd:import namespace="719a5b10-6f87-4933-90bd-9d2934b08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f7f836-be80-424e-a337-3f20de8f47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9a5b10-6f87-4933-90bd-9d2934b084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3CB2FE-542A-49B5-B196-49DFC6B5F729}"/>
</file>

<file path=customXml/itemProps2.xml><?xml version="1.0" encoding="utf-8"?>
<ds:datastoreItem xmlns:ds="http://schemas.openxmlformats.org/officeDocument/2006/customXml" ds:itemID="{160BEB11-F7BA-4AF1-AA4E-39B5F35CAF90}">
  <ds:schemaRefs>
    <ds:schemaRef ds:uri="http://schemas.microsoft.com/sharepoint/v3/contenttype/forms"/>
  </ds:schemaRefs>
</ds:datastoreItem>
</file>

<file path=customXml/itemProps3.xml><?xml version="1.0" encoding="utf-8"?>
<ds:datastoreItem xmlns:ds="http://schemas.openxmlformats.org/officeDocument/2006/customXml" ds:itemID="{10241B6A-6528-46F4-8D29-D329E4FB23D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EU Member States</vt:lpstr>
      <vt:lpstr>EEA+EFTA &amp; Accession Cand. &amp;UK</vt:lpstr>
      <vt:lpstr>Details of rate changes</vt:lpstr>
      <vt:lpstr>Explanatory Notes</vt:lpstr>
      <vt:lpstr>Changes since previous edition</vt:lpstr>
      <vt:lpstr>'Changes since previous edition'!Print_Area</vt:lpstr>
      <vt:lpstr>'Details of rate changes'!Print_Area</vt:lpstr>
      <vt:lpstr>'EU Member States'!Print_Area</vt:lpstr>
      <vt:lpstr>'Explanatory Notes'!Print_Area</vt:lpstr>
    </vt:vector>
  </TitlesOfParts>
  <Company>swa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Taxation: European Tax Rates Summary (EU)</dc:title>
  <dc:creator>user</dc:creator>
  <cp:lastModifiedBy>Chris Kauer</cp:lastModifiedBy>
  <cp:lastPrinted>2019-10-17T13:25:21Z</cp:lastPrinted>
  <dcterms:created xsi:type="dcterms:W3CDTF">2000-01-25T15:09:47Z</dcterms:created>
  <dcterms:modified xsi:type="dcterms:W3CDTF">2021-02-03T15:29:48Z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0x010100DEF9B3F975CC3E40AFC20939D6346A75</vt:lpwstr>
  </property>
</Properties>
</file>